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slicers/slicer1.xml" ContentType="application/vnd.ms-excel.slicer+xml"/>
  <Override PartName="/xl/worksheets/sheet1.xml" ContentType="application/vnd.openxmlformats-officedocument.spreadsheetml.workshee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C:\Users\Justo Jose\Desktop\Proyecto EuroVértice\Documentación recibida de Marta Reguilón\"/>
    </mc:Choice>
  </mc:AlternateContent>
  <xr:revisionPtr revIDLastSave="0" documentId="13_ncr:1_{D509D026-4B19-4C2B-941E-1C9F01390BEF}" xr6:coauthVersionLast="47" xr6:coauthVersionMax="47" xr10:uidLastSave="{00000000-0000-0000-0000-000000000000}"/>
  <bookViews>
    <workbookView xWindow="-108" yWindow="-108" windowWidth="23256" windowHeight="12456" tabRatio="669" activeTab="4" xr2:uid="{67F3D033-A202-4946-8FEB-517C1C239642}"/>
  </bookViews>
  <sheets>
    <sheet name="0.COVER" sheetId="1" r:id="rId1"/>
    <sheet name="1.MUNICIPAL_PROFILE" sheetId="4" r:id="rId2"/>
    <sheet name="2.WEIGHTS" sheetId="9" r:id="rId3"/>
    <sheet name="3.RESULTS" sheetId="2" r:id="rId4"/>
    <sheet name="4.CATALOGUE_OF_MEASURES" sheetId="8" r:id="rId5"/>
  </sheets>
  <definedNames>
    <definedName name="_xlnm._FilterDatabase" localSheetId="3" hidden="1">'3.RESULTS'!$M$13:$P$31</definedName>
    <definedName name="_xlnm.Print_Area" localSheetId="1">'1.MUNICIPAL_PROFILE'!$B$1:$K$24</definedName>
    <definedName name="_xlnm.Print_Area" localSheetId="2">'2.WEIGHTS'!$B$1:$H$23</definedName>
    <definedName name="_xlnm.Print_Area" localSheetId="3">'3.RESULTS'!$D$8:$K$150,'3.RESULTS'!$M$8:$Q$88</definedName>
    <definedName name="_xlnm.Print_Area" localSheetId="4">'4.CATALOGUE_OF_MEASURES'!$B$1:$BS$160</definedName>
    <definedName name="Beaches">'1.MUNICIPAL_PROFILE'!$F$19</definedName>
    <definedName name="Buildings">'1.MUNICIPAL_PROFILE'!$F$17</definedName>
    <definedName name="Care_centers">'1.MUNICIPAL_PROFILE'!$F$16</definedName>
    <definedName name="Rivers">'1.MUNICIPAL_PROFILE'!$F$20</definedName>
    <definedName name="Schools">'1.MUNICIPAL_PROFILE'!$F$22</definedName>
    <definedName name="SegmentaciónDeDatos_Budget">#N/A</definedName>
    <definedName name="SegmentaciónDeDatos_Buildings">#N/A</definedName>
    <definedName name="SegmentaciónDeDatos_Coordination">#N/A</definedName>
    <definedName name="SegmentaciónDeDatos_Culture">#N/A</definedName>
    <definedName name="SegmentaciónDeDatos_Education">#N/A</definedName>
    <definedName name="SegmentaciónDeDatos_Emergency">#N/A</definedName>
    <definedName name="SegmentaciónDeDatos_Nº_Areas">#N/A</definedName>
    <definedName name="SegmentaciónDeDatos_Occupational">#N/A</definedName>
    <definedName name="SegmentaciónDeDatos_Parks">#N/A</definedName>
    <definedName name="SegmentaciónDeDatos_Risk_Level">#N/A</definedName>
    <definedName name="SegmentaciónDeDatos_Social">#N/A</definedName>
    <definedName name="SegmentaciónDeDatos_Tourism">#N/A</definedName>
    <definedName name="SegmentaciónDeDatos_Transport">#N/A</definedName>
    <definedName name="SegmentaciónDeDatos_TYPE_OF_MEASURE">#N/A</definedName>
    <definedName name="SegmentaciónDeDatos_Urban">#N/A</definedName>
    <definedName name="Swimming">'1.MUNICIPAL_PROFILE'!$F$18</definedName>
    <definedName name="Transport">'1.MUNICIPAL_PROFILE'!$F$21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8" i="8" l="1"/>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S18" i="8"/>
  <c r="C5" i="2"/>
  <c r="F12" i="4"/>
  <c r="AT15" i="8" s="1"/>
  <c r="BD15" i="8"/>
  <c r="BF15" i="8"/>
  <c r="BE15" i="8"/>
  <c r="BC15" i="8"/>
  <c r="BB15" i="8"/>
  <c r="BA15" i="8"/>
  <c r="AZ15" i="8"/>
  <c r="BH44" i="8" l="1" a="1"/>
  <c r="BH44" i="8" s="1"/>
  <c r="BH127" i="8" a="1"/>
  <c r="BH127" i="8" s="1"/>
  <c r="BH87" i="8" a="1"/>
  <c r="BH87" i="8" s="1"/>
  <c r="BH68" i="8" a="1"/>
  <c r="BH68" i="8" s="1"/>
  <c r="BH56" i="8" a="1"/>
  <c r="BH56" i="8" s="1"/>
  <c r="BH43" i="8" a="1"/>
  <c r="BH43" i="8" s="1"/>
  <c r="BH158" i="8" a="1"/>
  <c r="BH158" i="8" s="1"/>
  <c r="BH150" i="8" a="1"/>
  <c r="BH150" i="8" s="1"/>
  <c r="BH142" i="8" a="1"/>
  <c r="BH142" i="8" s="1"/>
  <c r="BH134" i="8" a="1"/>
  <c r="BH134" i="8" s="1"/>
  <c r="BH126" i="8" a="1"/>
  <c r="BH126" i="8" s="1"/>
  <c r="BH118" i="8" a="1"/>
  <c r="BH118" i="8" s="1"/>
  <c r="BH110" i="8" a="1"/>
  <c r="BH110" i="8" s="1"/>
  <c r="BH102" i="8" a="1"/>
  <c r="BH102" i="8" s="1"/>
  <c r="BH94" i="8" a="1"/>
  <c r="BH94" i="8" s="1"/>
  <c r="BH86" i="8" a="1"/>
  <c r="BH86" i="8" s="1"/>
  <c r="BH77" i="8" a="1"/>
  <c r="BH77" i="8" s="1"/>
  <c r="BH67" i="8" a="1"/>
  <c r="BH67" i="8" s="1"/>
  <c r="BH53" i="8" a="1"/>
  <c r="BH53" i="8" s="1"/>
  <c r="BH37" i="8" a="1"/>
  <c r="BH37" i="8" s="1"/>
  <c r="BH151" i="8" a="1"/>
  <c r="BH151" i="8" s="1"/>
  <c r="BH103" i="8" a="1"/>
  <c r="BH103" i="8" s="1"/>
  <c r="BH141" i="8" a="1"/>
  <c r="BH141" i="8" s="1"/>
  <c r="BH93" i="8" a="1"/>
  <c r="BH93" i="8" s="1"/>
  <c r="BH36" i="8" a="1"/>
  <c r="BH36" i="8" s="1"/>
  <c r="BH156" i="8" a="1"/>
  <c r="BH156" i="8" s="1"/>
  <c r="BH148" i="8" a="1"/>
  <c r="BH148" i="8" s="1"/>
  <c r="BH140" i="8" a="1"/>
  <c r="BH140" i="8" s="1"/>
  <c r="BH132" i="8" a="1"/>
  <c r="BH132" i="8" s="1"/>
  <c r="BH124" i="8" a="1"/>
  <c r="BH124" i="8" s="1"/>
  <c r="BH116" i="8" a="1"/>
  <c r="BH116" i="8" s="1"/>
  <c r="BH108" i="8" a="1"/>
  <c r="BH108" i="8" s="1"/>
  <c r="BH100" i="8" a="1"/>
  <c r="BH100" i="8" s="1"/>
  <c r="BH92" i="8" a="1"/>
  <c r="BH92" i="8" s="1"/>
  <c r="BH84" i="8" a="1"/>
  <c r="BH84" i="8" s="1"/>
  <c r="BH75" i="8" a="1"/>
  <c r="BH75" i="8" s="1"/>
  <c r="BH64" i="8" a="1"/>
  <c r="BH64" i="8" s="1"/>
  <c r="BH51" i="8" a="1"/>
  <c r="BH51" i="8" s="1"/>
  <c r="BH34" i="8" a="1"/>
  <c r="BH34" i="8" s="1"/>
  <c r="BH111" i="8" a="1"/>
  <c r="BH111" i="8" s="1"/>
  <c r="BH149" i="8" a="1"/>
  <c r="BH149" i="8" s="1"/>
  <c r="BH109" i="8" a="1"/>
  <c r="BH109" i="8" s="1"/>
  <c r="BH65" i="8" a="1"/>
  <c r="BH65" i="8" s="1"/>
  <c r="BH155" i="8" a="1"/>
  <c r="BH155" i="8" s="1"/>
  <c r="BH147" i="8" a="1"/>
  <c r="BH147" i="8" s="1"/>
  <c r="BH139" i="8" a="1"/>
  <c r="BH139" i="8" s="1"/>
  <c r="BH131" i="8" a="1"/>
  <c r="BH131" i="8" s="1"/>
  <c r="BH123" i="8" a="1"/>
  <c r="BH123" i="8" s="1"/>
  <c r="BH115" i="8" a="1"/>
  <c r="BH115" i="8" s="1"/>
  <c r="BH107" i="8" a="1"/>
  <c r="BH107" i="8" s="1"/>
  <c r="BH99" i="8" a="1"/>
  <c r="BH99" i="8" s="1"/>
  <c r="BH91" i="8" a="1"/>
  <c r="BH91" i="8" s="1"/>
  <c r="BH83" i="8" a="1"/>
  <c r="BH83" i="8" s="1"/>
  <c r="BH74" i="8" a="1"/>
  <c r="BH74" i="8" s="1"/>
  <c r="BH61" i="8" a="1"/>
  <c r="BH61" i="8" s="1"/>
  <c r="BH49" i="8" a="1"/>
  <c r="BH49" i="8" s="1"/>
  <c r="BH143" i="8" a="1"/>
  <c r="BH143" i="8" s="1"/>
  <c r="BH95" i="8" a="1"/>
  <c r="BH95" i="8" s="1"/>
  <c r="BH133" i="8" a="1"/>
  <c r="BH133" i="8" s="1"/>
  <c r="BH101" i="8" a="1"/>
  <c r="BH101" i="8" s="1"/>
  <c r="BH52" i="8" a="1"/>
  <c r="BH52" i="8" s="1"/>
  <c r="BH154" i="8" a="1"/>
  <c r="BH154" i="8" s="1"/>
  <c r="BH146" i="8" a="1"/>
  <c r="BH146" i="8" s="1"/>
  <c r="BH138" i="8" a="1"/>
  <c r="BH138" i="8" s="1"/>
  <c r="BH130" i="8" a="1"/>
  <c r="BH130" i="8" s="1"/>
  <c r="BH122" i="8" a="1"/>
  <c r="BH122" i="8" s="1"/>
  <c r="BH114" i="8" a="1"/>
  <c r="BH114" i="8" s="1"/>
  <c r="BH106" i="8" a="1"/>
  <c r="BH106" i="8" s="1"/>
  <c r="BH98" i="8" a="1"/>
  <c r="BH98" i="8" s="1"/>
  <c r="BH90" i="8" a="1"/>
  <c r="BH90" i="8" s="1"/>
  <c r="BH82" i="8" a="1"/>
  <c r="BH82" i="8" s="1"/>
  <c r="BH73" i="8" a="1"/>
  <c r="BH73" i="8" s="1"/>
  <c r="BH60" i="8" a="1"/>
  <c r="BH60" i="8" s="1"/>
  <c r="BH48" i="8" a="1"/>
  <c r="BH48" i="8" s="1"/>
  <c r="BH119" i="8" a="1"/>
  <c r="BH119" i="8" s="1"/>
  <c r="BH157" i="8" a="1"/>
  <c r="BH157" i="8" s="1"/>
  <c r="BH117" i="8" a="1"/>
  <c r="BH117" i="8" s="1"/>
  <c r="BH76" i="8" a="1"/>
  <c r="BH76" i="8" s="1"/>
  <c r="BH153" i="8" a="1"/>
  <c r="BH153" i="8" s="1"/>
  <c r="BH145" i="8" a="1"/>
  <c r="BH145" i="8" s="1"/>
  <c r="BH137" i="8" a="1"/>
  <c r="BH137" i="8" s="1"/>
  <c r="BH129" i="8" a="1"/>
  <c r="BH129" i="8" s="1"/>
  <c r="BH121" i="8" a="1"/>
  <c r="BH121" i="8" s="1"/>
  <c r="BH113" i="8" a="1"/>
  <c r="BH113" i="8" s="1"/>
  <c r="BH105" i="8" a="1"/>
  <c r="BH105" i="8" s="1"/>
  <c r="BH97" i="8" a="1"/>
  <c r="BH97" i="8" s="1"/>
  <c r="BH89" i="8" a="1"/>
  <c r="BH89" i="8" s="1"/>
  <c r="BH81" i="8" a="1"/>
  <c r="BH81" i="8" s="1"/>
  <c r="BH72" i="8" a="1"/>
  <c r="BH72" i="8" s="1"/>
  <c r="BH59" i="8" a="1"/>
  <c r="BH59" i="8" s="1"/>
  <c r="BH45" i="8" a="1"/>
  <c r="BH45" i="8" s="1"/>
  <c r="BH35" i="8" a="1"/>
  <c r="BH35" i="8" s="1"/>
  <c r="BH135" i="8" a="1"/>
  <c r="BH135" i="8" s="1"/>
  <c r="BH78" i="8" a="1"/>
  <c r="BH78" i="8" s="1"/>
  <c r="BH125" i="8" a="1"/>
  <c r="BH125" i="8" s="1"/>
  <c r="BH85" i="8" a="1"/>
  <c r="BH85" i="8" s="1"/>
  <c r="BH152" i="8" a="1"/>
  <c r="BH152" i="8" s="1"/>
  <c r="BH144" i="8" a="1"/>
  <c r="BH144" i="8" s="1"/>
  <c r="BH136" i="8" a="1"/>
  <c r="BH136" i="8" s="1"/>
  <c r="BH128" i="8" a="1"/>
  <c r="BH128" i="8" s="1"/>
  <c r="BH120" i="8" a="1"/>
  <c r="BH120" i="8" s="1"/>
  <c r="BH112" i="8" a="1"/>
  <c r="BH112" i="8" s="1"/>
  <c r="BH104" i="8" a="1"/>
  <c r="BH104" i="8" s="1"/>
  <c r="BH96" i="8" a="1"/>
  <c r="BH96" i="8" s="1"/>
  <c r="BH88" i="8" a="1"/>
  <c r="BH88" i="8" s="1"/>
  <c r="BH80" i="8" a="1"/>
  <c r="BH80" i="8" s="1"/>
  <c r="BH69" i="8" a="1"/>
  <c r="BH69" i="8" s="1"/>
  <c r="BH57" i="8" a="1"/>
  <c r="BH57" i="8" s="1"/>
  <c r="BH38" i="8" a="1"/>
  <c r="BH38" i="8" s="1"/>
  <c r="BH66" i="8" a="1"/>
  <c r="BH66" i="8" s="1"/>
  <c r="BH58" i="8" a="1"/>
  <c r="BH58" i="8" s="1"/>
  <c r="BH50" i="8" a="1"/>
  <c r="BH50" i="8" s="1"/>
  <c r="BH42" i="8" a="1"/>
  <c r="BH42" i="8" s="1"/>
  <c r="BH33" i="8" a="1"/>
  <c r="BH33" i="8" s="1"/>
  <c r="BH41" i="8" a="1"/>
  <c r="BH41" i="8" s="1"/>
  <c r="BH31" i="8" a="1"/>
  <c r="BH31" i="8" s="1"/>
  <c r="BH40" i="8" a="1"/>
  <c r="BH40" i="8" s="1"/>
  <c r="BH30" i="8" a="1"/>
  <c r="BH30" i="8" s="1"/>
  <c r="BH79" i="8" a="1"/>
  <c r="BH79" i="8" s="1"/>
  <c r="BH71" i="8" a="1"/>
  <c r="BH71" i="8" s="1"/>
  <c r="BH63" i="8" a="1"/>
  <c r="BH63" i="8" s="1"/>
  <c r="BH55" i="8" a="1"/>
  <c r="BH55" i="8" s="1"/>
  <c r="BH47" i="8" a="1"/>
  <c r="BH47" i="8" s="1"/>
  <c r="BH39" i="8" a="1"/>
  <c r="BH39" i="8" s="1"/>
  <c r="BH70" i="8" a="1"/>
  <c r="BH70" i="8" s="1"/>
  <c r="BH62" i="8" a="1"/>
  <c r="BH62" i="8" s="1"/>
  <c r="BH54" i="8" a="1"/>
  <c r="BH54" i="8" s="1"/>
  <c r="BH46" i="8" a="1"/>
  <c r="BH46" i="8" s="1"/>
  <c r="BH32" i="8" a="1"/>
  <c r="BH32" i="8" s="1"/>
  <c r="BH29" i="8" a="1"/>
  <c r="BH29" i="8" s="1"/>
  <c r="BH28" i="8" a="1"/>
  <c r="BH28" i="8" s="1"/>
  <c r="BH23" i="8" a="1"/>
  <c r="BH23" i="8" s="1"/>
  <c r="BH27" i="8" a="1"/>
  <c r="BH27" i="8" s="1"/>
  <c r="BH26" i="8" a="1"/>
  <c r="BH26" i="8" s="1"/>
  <c r="BH25" i="8" a="1"/>
  <c r="BH25" i="8" s="1"/>
  <c r="BH24" i="8" a="1"/>
  <c r="BH24" i="8" s="1"/>
  <c r="BH18" i="8" a="1"/>
  <c r="BH18" i="8" s="1"/>
  <c r="BH22" i="8" a="1"/>
  <c r="BH22" i="8" s="1"/>
  <c r="BH21" i="8" a="1"/>
  <c r="BH21" i="8" s="1"/>
  <c r="BH20" i="8" a="1"/>
  <c r="BH20" i="8" s="1"/>
  <c r="BH19" i="8" a="1"/>
  <c r="BH19" i="8" s="1"/>
  <c r="J13" i="9"/>
  <c r="K13" i="9" s="1"/>
  <c r="J14" i="9"/>
  <c r="K14" i="9" s="1"/>
  <c r="J15" i="9"/>
  <c r="K15" i="9" s="1"/>
  <c r="J16" i="9"/>
  <c r="K16" i="9" s="1"/>
  <c r="J17" i="9"/>
  <c r="K17" i="9" s="1"/>
  <c r="J18" i="9"/>
  <c r="K18" i="9" s="1"/>
  <c r="J19" i="9"/>
  <c r="K19" i="9" s="1"/>
  <c r="J12" i="9"/>
  <c r="K12" i="9" s="1"/>
  <c r="AW15" i="8" l="1"/>
  <c r="AU15" i="8"/>
  <c r="AV15" i="8"/>
  <c r="AX15" i="8"/>
  <c r="L14" i="9"/>
  <c r="M14" i="9" s="1"/>
  <c r="L15" i="9"/>
  <c r="M15" i="9" s="1"/>
  <c r="L16" i="9"/>
  <c r="M16" i="9" s="1"/>
  <c r="L17" i="9"/>
  <c r="M17" i="9" s="1"/>
  <c r="L18" i="9"/>
  <c r="M18" i="9" s="1"/>
  <c r="L19" i="9"/>
  <c r="M19" i="9" s="1"/>
  <c r="L12" i="9"/>
  <c r="L13" i="9"/>
  <c r="M13" i="9" s="1"/>
  <c r="K20" i="9"/>
  <c r="L20" i="9" l="1"/>
  <c r="M12" i="9"/>
  <c r="M20" i="9" s="1"/>
  <c r="AT158" i="8" l="1"/>
  <c r="AR158" i="8"/>
  <c r="AP158" i="8"/>
  <c r="AN158" i="8"/>
  <c r="AL158" i="8"/>
  <c r="AJ158" i="8"/>
  <c r="AH158" i="8"/>
  <c r="AF158" i="8"/>
  <c r="AD158" i="8"/>
  <c r="AB158" i="8"/>
  <c r="Z158" i="8"/>
  <c r="V158" i="8"/>
  <c r="U158" i="8"/>
  <c r="T158" i="8"/>
  <c r="S158" i="8"/>
  <c r="N158" i="8"/>
  <c r="AT157" i="8"/>
  <c r="AR157" i="8"/>
  <c r="AP157" i="8"/>
  <c r="AN157" i="8"/>
  <c r="AL157" i="8"/>
  <c r="AJ157" i="8"/>
  <c r="AH157" i="8"/>
  <c r="AF157" i="8"/>
  <c r="AD157" i="8"/>
  <c r="AB157" i="8"/>
  <c r="Z157" i="8"/>
  <c r="V157" i="8"/>
  <c r="U157" i="8"/>
  <c r="T157" i="8"/>
  <c r="S157" i="8"/>
  <c r="N157" i="8"/>
  <c r="AT156" i="8"/>
  <c r="AR156" i="8"/>
  <c r="AP156" i="8"/>
  <c r="AN156" i="8"/>
  <c r="AL156" i="8"/>
  <c r="AJ156" i="8"/>
  <c r="AH156" i="8"/>
  <c r="AF156" i="8"/>
  <c r="AD156" i="8"/>
  <c r="AB156" i="8"/>
  <c r="Z156" i="8"/>
  <c r="V156" i="8"/>
  <c r="U156" i="8"/>
  <c r="T156" i="8"/>
  <c r="S156" i="8"/>
  <c r="N156" i="8"/>
  <c r="AT155" i="8"/>
  <c r="AR155" i="8"/>
  <c r="AP155" i="8"/>
  <c r="AN155" i="8"/>
  <c r="AL155" i="8"/>
  <c r="AJ155" i="8"/>
  <c r="AH155" i="8"/>
  <c r="AF155" i="8"/>
  <c r="AD155" i="8"/>
  <c r="AB155" i="8"/>
  <c r="Z155" i="8"/>
  <c r="V155" i="8"/>
  <c r="U155" i="8"/>
  <c r="T155" i="8"/>
  <c r="S155" i="8"/>
  <c r="N155" i="8"/>
  <c r="AT154" i="8"/>
  <c r="AR154" i="8"/>
  <c r="AP154" i="8"/>
  <c r="AN154" i="8"/>
  <c r="AL154" i="8"/>
  <c r="AJ154" i="8"/>
  <c r="AH154" i="8"/>
  <c r="AF154" i="8"/>
  <c r="AD154" i="8"/>
  <c r="AB154" i="8"/>
  <c r="Z154" i="8"/>
  <c r="V154" i="8"/>
  <c r="U154" i="8"/>
  <c r="T154" i="8"/>
  <c r="S154" i="8"/>
  <c r="N154" i="8"/>
  <c r="AT153" i="8"/>
  <c r="AR153" i="8"/>
  <c r="AP153" i="8"/>
  <c r="AN153" i="8"/>
  <c r="AL153" i="8"/>
  <c r="AJ153" i="8"/>
  <c r="AH153" i="8"/>
  <c r="AF153" i="8"/>
  <c r="AD153" i="8"/>
  <c r="AB153" i="8"/>
  <c r="Z153" i="8"/>
  <c r="V153" i="8"/>
  <c r="U153" i="8"/>
  <c r="T153" i="8"/>
  <c r="S153" i="8"/>
  <c r="N153" i="8"/>
  <c r="AT152" i="8"/>
  <c r="AR152" i="8"/>
  <c r="AP152" i="8"/>
  <c r="AN152" i="8"/>
  <c r="AL152" i="8"/>
  <c r="AJ152" i="8"/>
  <c r="AH152" i="8"/>
  <c r="AF152" i="8"/>
  <c r="AD152" i="8"/>
  <c r="AB152" i="8"/>
  <c r="Z152" i="8"/>
  <c r="V152" i="8"/>
  <c r="U152" i="8"/>
  <c r="T152" i="8"/>
  <c r="S152" i="8"/>
  <c r="N152" i="8"/>
  <c r="AT151" i="8"/>
  <c r="AR151" i="8"/>
  <c r="AP151" i="8"/>
  <c r="AN151" i="8"/>
  <c r="AL151" i="8"/>
  <c r="AJ151" i="8"/>
  <c r="AH151" i="8"/>
  <c r="AF151" i="8"/>
  <c r="AD151" i="8"/>
  <c r="AB151" i="8"/>
  <c r="Z151" i="8"/>
  <c r="V151" i="8"/>
  <c r="U151" i="8"/>
  <c r="T151" i="8"/>
  <c r="S151" i="8"/>
  <c r="N151" i="8"/>
  <c r="AT150" i="8"/>
  <c r="AR150" i="8"/>
  <c r="AP150" i="8"/>
  <c r="AN150" i="8"/>
  <c r="AL150" i="8"/>
  <c r="AJ150" i="8"/>
  <c r="AH150" i="8"/>
  <c r="AF150" i="8"/>
  <c r="AD150" i="8"/>
  <c r="AB150" i="8"/>
  <c r="Z150" i="8"/>
  <c r="V150" i="8"/>
  <c r="U150" i="8"/>
  <c r="T150" i="8"/>
  <c r="S150" i="8"/>
  <c r="N150" i="8"/>
  <c r="AT149" i="8"/>
  <c r="AR149" i="8"/>
  <c r="AP149" i="8"/>
  <c r="AN149" i="8"/>
  <c r="AL149" i="8"/>
  <c r="AJ149" i="8"/>
  <c r="AH149" i="8"/>
  <c r="AF149" i="8"/>
  <c r="AD149" i="8"/>
  <c r="AB149" i="8"/>
  <c r="Z149" i="8"/>
  <c r="V149" i="8"/>
  <c r="U149" i="8"/>
  <c r="T149" i="8"/>
  <c r="S149" i="8"/>
  <c r="N149" i="8"/>
  <c r="AT148" i="8"/>
  <c r="AR148" i="8"/>
  <c r="AP148" i="8"/>
  <c r="AN148" i="8"/>
  <c r="AL148" i="8"/>
  <c r="AJ148" i="8"/>
  <c r="AH148" i="8"/>
  <c r="AF148" i="8"/>
  <c r="AD148" i="8"/>
  <c r="AB148" i="8"/>
  <c r="Z148" i="8"/>
  <c r="V148" i="8"/>
  <c r="U148" i="8"/>
  <c r="T148" i="8"/>
  <c r="S148" i="8"/>
  <c r="N148" i="8"/>
  <c r="AT147" i="8"/>
  <c r="AR147" i="8"/>
  <c r="AP147" i="8"/>
  <c r="AN147" i="8"/>
  <c r="AL147" i="8"/>
  <c r="AJ147" i="8"/>
  <c r="AH147" i="8"/>
  <c r="AF147" i="8"/>
  <c r="AD147" i="8"/>
  <c r="AB147" i="8"/>
  <c r="Z147" i="8"/>
  <c r="V147" i="8"/>
  <c r="U147" i="8"/>
  <c r="T147" i="8"/>
  <c r="S147" i="8"/>
  <c r="N147" i="8"/>
  <c r="AT146" i="8"/>
  <c r="AR146" i="8"/>
  <c r="AP146" i="8"/>
  <c r="AN146" i="8"/>
  <c r="AL146" i="8"/>
  <c r="AJ146" i="8"/>
  <c r="AH146" i="8"/>
  <c r="AF146" i="8"/>
  <c r="AD146" i="8"/>
  <c r="AB146" i="8"/>
  <c r="Z146" i="8"/>
  <c r="V146" i="8"/>
  <c r="U146" i="8"/>
  <c r="T146" i="8"/>
  <c r="S146" i="8"/>
  <c r="N146" i="8"/>
  <c r="AT145" i="8"/>
  <c r="AR145" i="8"/>
  <c r="AP145" i="8"/>
  <c r="AN145" i="8"/>
  <c r="AL145" i="8"/>
  <c r="AJ145" i="8"/>
  <c r="AH145" i="8"/>
  <c r="AF145" i="8"/>
  <c r="AD145" i="8"/>
  <c r="AB145" i="8"/>
  <c r="Z145" i="8"/>
  <c r="V145" i="8"/>
  <c r="U145" i="8"/>
  <c r="T145" i="8"/>
  <c r="S145" i="8"/>
  <c r="N145" i="8"/>
  <c r="AT144" i="8"/>
  <c r="AR144" i="8"/>
  <c r="AP144" i="8"/>
  <c r="AN144" i="8"/>
  <c r="AL144" i="8"/>
  <c r="AJ144" i="8"/>
  <c r="AH144" i="8"/>
  <c r="AF144" i="8"/>
  <c r="AD144" i="8"/>
  <c r="AB144" i="8"/>
  <c r="Z144" i="8"/>
  <c r="V144" i="8"/>
  <c r="U144" i="8"/>
  <c r="T144" i="8"/>
  <c r="S144" i="8"/>
  <c r="N144" i="8"/>
  <c r="AT143" i="8"/>
  <c r="AR143" i="8"/>
  <c r="AP143" i="8"/>
  <c r="AN143" i="8"/>
  <c r="AL143" i="8"/>
  <c r="AJ143" i="8"/>
  <c r="AH143" i="8"/>
  <c r="AF143" i="8"/>
  <c r="AD143" i="8"/>
  <c r="AB143" i="8"/>
  <c r="Z143" i="8"/>
  <c r="V143" i="8"/>
  <c r="U143" i="8"/>
  <c r="T143" i="8"/>
  <c r="S143" i="8"/>
  <c r="N143" i="8"/>
  <c r="AT142" i="8"/>
  <c r="AR142" i="8"/>
  <c r="AP142" i="8"/>
  <c r="AN142" i="8"/>
  <c r="AL142" i="8"/>
  <c r="AJ142" i="8"/>
  <c r="AH142" i="8"/>
  <c r="AF142" i="8"/>
  <c r="AD142" i="8"/>
  <c r="AB142" i="8"/>
  <c r="Z142" i="8"/>
  <c r="V142" i="8"/>
  <c r="U142" i="8"/>
  <c r="T142" i="8"/>
  <c r="S142" i="8"/>
  <c r="N142" i="8"/>
  <c r="AT141" i="8"/>
  <c r="AR141" i="8"/>
  <c r="AP141" i="8"/>
  <c r="AN141" i="8"/>
  <c r="AL141" i="8"/>
  <c r="AJ141" i="8"/>
  <c r="AH141" i="8"/>
  <c r="AF141" i="8"/>
  <c r="AD141" i="8"/>
  <c r="AB141" i="8"/>
  <c r="Z141" i="8"/>
  <c r="V141" i="8"/>
  <c r="U141" i="8"/>
  <c r="T141" i="8"/>
  <c r="S141" i="8"/>
  <c r="N141" i="8"/>
  <c r="AT140" i="8"/>
  <c r="AR140" i="8"/>
  <c r="AP140" i="8"/>
  <c r="AN140" i="8"/>
  <c r="AL140" i="8"/>
  <c r="AJ140" i="8"/>
  <c r="AH140" i="8"/>
  <c r="AF140" i="8"/>
  <c r="AD140" i="8"/>
  <c r="AB140" i="8"/>
  <c r="Z140" i="8"/>
  <c r="V140" i="8"/>
  <c r="U140" i="8"/>
  <c r="T140" i="8"/>
  <c r="S140" i="8"/>
  <c r="N140" i="8"/>
  <c r="AT139" i="8"/>
  <c r="AR139" i="8"/>
  <c r="AP139" i="8"/>
  <c r="AN139" i="8"/>
  <c r="AL139" i="8"/>
  <c r="AJ139" i="8"/>
  <c r="AH139" i="8"/>
  <c r="AF139" i="8"/>
  <c r="AD139" i="8"/>
  <c r="AB139" i="8"/>
  <c r="Z139" i="8"/>
  <c r="V139" i="8"/>
  <c r="U139" i="8"/>
  <c r="T139" i="8"/>
  <c r="S139" i="8"/>
  <c r="N139" i="8"/>
  <c r="AT138" i="8"/>
  <c r="AR138" i="8"/>
  <c r="AP138" i="8"/>
  <c r="AN138" i="8"/>
  <c r="AL138" i="8"/>
  <c r="AJ138" i="8"/>
  <c r="AH138" i="8"/>
  <c r="AF138" i="8"/>
  <c r="AD138" i="8"/>
  <c r="AB138" i="8"/>
  <c r="Z138" i="8"/>
  <c r="V138" i="8"/>
  <c r="U138" i="8"/>
  <c r="T138" i="8"/>
  <c r="S138" i="8"/>
  <c r="N138" i="8"/>
  <c r="AT137" i="8"/>
  <c r="AR137" i="8"/>
  <c r="AP137" i="8"/>
  <c r="AN137" i="8"/>
  <c r="AL137" i="8"/>
  <c r="AJ137" i="8"/>
  <c r="AH137" i="8"/>
  <c r="AF137" i="8"/>
  <c r="AD137" i="8"/>
  <c r="AB137" i="8"/>
  <c r="Z137" i="8"/>
  <c r="V137" i="8"/>
  <c r="U137" i="8"/>
  <c r="T137" i="8"/>
  <c r="S137" i="8"/>
  <c r="N137" i="8"/>
  <c r="AT136" i="8"/>
  <c r="AR136" i="8"/>
  <c r="AP136" i="8"/>
  <c r="AN136" i="8"/>
  <c r="AL136" i="8"/>
  <c r="AJ136" i="8"/>
  <c r="AH136" i="8"/>
  <c r="AF136" i="8"/>
  <c r="AD136" i="8"/>
  <c r="AB136" i="8"/>
  <c r="Z136" i="8"/>
  <c r="V136" i="8"/>
  <c r="U136" i="8"/>
  <c r="T136" i="8"/>
  <c r="S136" i="8"/>
  <c r="N136" i="8"/>
  <c r="AT135" i="8"/>
  <c r="AR135" i="8"/>
  <c r="AP135" i="8"/>
  <c r="AN135" i="8"/>
  <c r="AL135" i="8"/>
  <c r="AJ135" i="8"/>
  <c r="AH135" i="8"/>
  <c r="AF135" i="8"/>
  <c r="AD135" i="8"/>
  <c r="AB135" i="8"/>
  <c r="Z135" i="8"/>
  <c r="V135" i="8"/>
  <c r="U135" i="8"/>
  <c r="T135" i="8"/>
  <c r="S135" i="8"/>
  <c r="N135" i="8"/>
  <c r="AT134" i="8"/>
  <c r="AR134" i="8"/>
  <c r="AP134" i="8"/>
  <c r="AN134" i="8"/>
  <c r="AL134" i="8"/>
  <c r="AJ134" i="8"/>
  <c r="AH134" i="8"/>
  <c r="AF134" i="8"/>
  <c r="AD134" i="8"/>
  <c r="AB134" i="8"/>
  <c r="Z134" i="8"/>
  <c r="V134" i="8"/>
  <c r="U134" i="8"/>
  <c r="T134" i="8"/>
  <c r="S134" i="8"/>
  <c r="N134" i="8"/>
  <c r="AT133" i="8"/>
  <c r="AR133" i="8"/>
  <c r="AP133" i="8"/>
  <c r="AN133" i="8"/>
  <c r="AL133" i="8"/>
  <c r="AJ133" i="8"/>
  <c r="AH133" i="8"/>
  <c r="AF133" i="8"/>
  <c r="AD133" i="8"/>
  <c r="AB133" i="8"/>
  <c r="Z133" i="8"/>
  <c r="V133" i="8"/>
  <c r="U133" i="8"/>
  <c r="T133" i="8"/>
  <c r="S133" i="8"/>
  <c r="N133" i="8"/>
  <c r="AT132" i="8"/>
  <c r="AR132" i="8"/>
  <c r="AP132" i="8"/>
  <c r="AN132" i="8"/>
  <c r="AL132" i="8"/>
  <c r="AJ132" i="8"/>
  <c r="AH132" i="8"/>
  <c r="AF132" i="8"/>
  <c r="AD132" i="8"/>
  <c r="AB132" i="8"/>
  <c r="Z132" i="8"/>
  <c r="V132" i="8"/>
  <c r="U132" i="8"/>
  <c r="T132" i="8"/>
  <c r="S132" i="8"/>
  <c r="N132" i="8"/>
  <c r="AT131" i="8"/>
  <c r="AR131" i="8"/>
  <c r="AP131" i="8"/>
  <c r="AN131" i="8"/>
  <c r="AL131" i="8"/>
  <c r="AJ131" i="8"/>
  <c r="AH131" i="8"/>
  <c r="AF131" i="8"/>
  <c r="AD131" i="8"/>
  <c r="AB131" i="8"/>
  <c r="Z131" i="8"/>
  <c r="V131" i="8"/>
  <c r="U131" i="8"/>
  <c r="T131" i="8"/>
  <c r="S131" i="8"/>
  <c r="N131" i="8"/>
  <c r="AT130" i="8"/>
  <c r="AR130" i="8"/>
  <c r="AP130" i="8"/>
  <c r="AN130" i="8"/>
  <c r="AL130" i="8"/>
  <c r="AJ130" i="8"/>
  <c r="AH130" i="8"/>
  <c r="AF130" i="8"/>
  <c r="AD130" i="8"/>
  <c r="AB130" i="8"/>
  <c r="Z130" i="8"/>
  <c r="V130" i="8"/>
  <c r="U130" i="8"/>
  <c r="T130" i="8"/>
  <c r="S130" i="8"/>
  <c r="N130" i="8"/>
  <c r="AT129" i="8"/>
  <c r="AR129" i="8"/>
  <c r="AP129" i="8"/>
  <c r="AN129" i="8"/>
  <c r="AL129" i="8"/>
  <c r="AJ129" i="8"/>
  <c r="AH129" i="8"/>
  <c r="AF129" i="8"/>
  <c r="AD129" i="8"/>
  <c r="AB129" i="8"/>
  <c r="Z129" i="8"/>
  <c r="V129" i="8"/>
  <c r="U129" i="8"/>
  <c r="T129" i="8"/>
  <c r="S129" i="8"/>
  <c r="N129" i="8"/>
  <c r="AT128" i="8"/>
  <c r="AR128" i="8"/>
  <c r="AP128" i="8"/>
  <c r="AN128" i="8"/>
  <c r="AL128" i="8"/>
  <c r="AJ128" i="8"/>
  <c r="AH128" i="8"/>
  <c r="AF128" i="8"/>
  <c r="AD128" i="8"/>
  <c r="AB128" i="8"/>
  <c r="Z128" i="8"/>
  <c r="V128" i="8"/>
  <c r="U128" i="8"/>
  <c r="T128" i="8"/>
  <c r="S128" i="8"/>
  <c r="N128" i="8"/>
  <c r="AT127" i="8"/>
  <c r="AR127" i="8"/>
  <c r="AP127" i="8"/>
  <c r="AN127" i="8"/>
  <c r="AL127" i="8"/>
  <c r="AJ127" i="8"/>
  <c r="AH127" i="8"/>
  <c r="AF127" i="8"/>
  <c r="AD127" i="8"/>
  <c r="AB127" i="8"/>
  <c r="Z127" i="8"/>
  <c r="V127" i="8"/>
  <c r="U127" i="8"/>
  <c r="T127" i="8"/>
  <c r="S127" i="8"/>
  <c r="N127" i="8"/>
  <c r="AT126" i="8"/>
  <c r="AR126" i="8"/>
  <c r="AP126" i="8"/>
  <c r="AN126" i="8"/>
  <c r="AL126" i="8"/>
  <c r="AJ126" i="8"/>
  <c r="AH126" i="8"/>
  <c r="AF126" i="8"/>
  <c r="AD126" i="8"/>
  <c r="AB126" i="8"/>
  <c r="Z126" i="8"/>
  <c r="V126" i="8"/>
  <c r="U126" i="8"/>
  <c r="T126" i="8"/>
  <c r="S126" i="8"/>
  <c r="N126" i="8"/>
  <c r="AT125" i="8"/>
  <c r="AR125" i="8"/>
  <c r="AP125" i="8"/>
  <c r="AN125" i="8"/>
  <c r="AL125" i="8"/>
  <c r="AJ125" i="8"/>
  <c r="AH125" i="8"/>
  <c r="AF125" i="8"/>
  <c r="AD125" i="8"/>
  <c r="AB125" i="8"/>
  <c r="Z125" i="8"/>
  <c r="V125" i="8"/>
  <c r="U125" i="8"/>
  <c r="T125" i="8"/>
  <c r="S125" i="8"/>
  <c r="N125" i="8"/>
  <c r="AT124" i="8"/>
  <c r="AR124" i="8"/>
  <c r="AP124" i="8"/>
  <c r="AN124" i="8"/>
  <c r="AL124" i="8"/>
  <c r="AJ124" i="8"/>
  <c r="AH124" i="8"/>
  <c r="AF124" i="8"/>
  <c r="AD124" i="8"/>
  <c r="AB124" i="8"/>
  <c r="Z124" i="8"/>
  <c r="V124" i="8"/>
  <c r="U124" i="8"/>
  <c r="T124" i="8"/>
  <c r="S124" i="8"/>
  <c r="N124" i="8"/>
  <c r="AT123" i="8"/>
  <c r="AR123" i="8"/>
  <c r="AP123" i="8"/>
  <c r="AN123" i="8"/>
  <c r="AL123" i="8"/>
  <c r="AJ123" i="8"/>
  <c r="AH123" i="8"/>
  <c r="AF123" i="8"/>
  <c r="AD123" i="8"/>
  <c r="AB123" i="8"/>
  <c r="Z123" i="8"/>
  <c r="V123" i="8"/>
  <c r="U123" i="8"/>
  <c r="T123" i="8"/>
  <c r="S123" i="8"/>
  <c r="N123" i="8"/>
  <c r="AT122" i="8"/>
  <c r="AR122" i="8"/>
  <c r="AP122" i="8"/>
  <c r="AN122" i="8"/>
  <c r="AL122" i="8"/>
  <c r="AJ122" i="8"/>
  <c r="AH122" i="8"/>
  <c r="AF122" i="8"/>
  <c r="AD122" i="8"/>
  <c r="AB122" i="8"/>
  <c r="Z122" i="8"/>
  <c r="V122" i="8"/>
  <c r="U122" i="8"/>
  <c r="T122" i="8"/>
  <c r="S122" i="8"/>
  <c r="N122" i="8"/>
  <c r="AT121" i="8"/>
  <c r="AR121" i="8"/>
  <c r="AP121" i="8"/>
  <c r="AN121" i="8"/>
  <c r="AL121" i="8"/>
  <c r="AJ121" i="8"/>
  <c r="AH121" i="8"/>
  <c r="AF121" i="8"/>
  <c r="AD121" i="8"/>
  <c r="AB121" i="8"/>
  <c r="Z121" i="8"/>
  <c r="V121" i="8"/>
  <c r="U121" i="8"/>
  <c r="T121" i="8"/>
  <c r="S121" i="8"/>
  <c r="N121" i="8"/>
  <c r="AT120" i="8"/>
  <c r="AR120" i="8"/>
  <c r="AP120" i="8"/>
  <c r="AN120" i="8"/>
  <c r="AL120" i="8"/>
  <c r="AJ120" i="8"/>
  <c r="AH120" i="8"/>
  <c r="AF120" i="8"/>
  <c r="AD120" i="8"/>
  <c r="AB120" i="8"/>
  <c r="Z120" i="8"/>
  <c r="V120" i="8"/>
  <c r="U120" i="8"/>
  <c r="T120" i="8"/>
  <c r="S120" i="8"/>
  <c r="N120" i="8"/>
  <c r="AT119" i="8"/>
  <c r="AR119" i="8"/>
  <c r="AP119" i="8"/>
  <c r="AN119" i="8"/>
  <c r="AL119" i="8"/>
  <c r="AJ119" i="8"/>
  <c r="AH119" i="8"/>
  <c r="AF119" i="8"/>
  <c r="AD119" i="8"/>
  <c r="AB119" i="8"/>
  <c r="Z119" i="8"/>
  <c r="V119" i="8"/>
  <c r="U119" i="8"/>
  <c r="T119" i="8"/>
  <c r="S119" i="8"/>
  <c r="N119" i="8"/>
  <c r="AT118" i="8"/>
  <c r="AR118" i="8"/>
  <c r="AP118" i="8"/>
  <c r="AN118" i="8"/>
  <c r="AL118" i="8"/>
  <c r="AJ118" i="8"/>
  <c r="AH118" i="8"/>
  <c r="AF118" i="8"/>
  <c r="AD118" i="8"/>
  <c r="AB118" i="8"/>
  <c r="Z118" i="8"/>
  <c r="V118" i="8"/>
  <c r="U118" i="8"/>
  <c r="T118" i="8"/>
  <c r="S118" i="8"/>
  <c r="N118" i="8"/>
  <c r="AT117" i="8"/>
  <c r="AR117" i="8"/>
  <c r="AP117" i="8"/>
  <c r="AN117" i="8"/>
  <c r="AL117" i="8"/>
  <c r="AJ117" i="8"/>
  <c r="AH117" i="8"/>
  <c r="AF117" i="8"/>
  <c r="AD117" i="8"/>
  <c r="AB117" i="8"/>
  <c r="Z117" i="8"/>
  <c r="V117" i="8"/>
  <c r="U117" i="8"/>
  <c r="T117" i="8"/>
  <c r="S117" i="8"/>
  <c r="N117" i="8"/>
  <c r="AT116" i="8"/>
  <c r="AR116" i="8"/>
  <c r="AP116" i="8"/>
  <c r="AN116" i="8"/>
  <c r="AL116" i="8"/>
  <c r="AJ116" i="8"/>
  <c r="AH116" i="8"/>
  <c r="AF116" i="8"/>
  <c r="AD116" i="8"/>
  <c r="AB116" i="8"/>
  <c r="Z116" i="8"/>
  <c r="V116" i="8"/>
  <c r="U116" i="8"/>
  <c r="T116" i="8"/>
  <c r="S116" i="8"/>
  <c r="N116" i="8"/>
  <c r="AT115" i="8"/>
  <c r="AR115" i="8"/>
  <c r="AP115" i="8"/>
  <c r="AN115" i="8"/>
  <c r="AL115" i="8"/>
  <c r="AJ115" i="8"/>
  <c r="AH115" i="8"/>
  <c r="AF115" i="8"/>
  <c r="AD115" i="8"/>
  <c r="AB115" i="8"/>
  <c r="Z115" i="8"/>
  <c r="V115" i="8"/>
  <c r="U115" i="8"/>
  <c r="T115" i="8"/>
  <c r="S115" i="8"/>
  <c r="N115" i="8"/>
  <c r="AT114" i="8"/>
  <c r="AR114" i="8"/>
  <c r="AP114" i="8"/>
  <c r="AN114" i="8"/>
  <c r="AL114" i="8"/>
  <c r="AJ114" i="8"/>
  <c r="AH114" i="8"/>
  <c r="AF114" i="8"/>
  <c r="AD114" i="8"/>
  <c r="AB114" i="8"/>
  <c r="Z114" i="8"/>
  <c r="V114" i="8"/>
  <c r="U114" i="8"/>
  <c r="T114" i="8"/>
  <c r="S114" i="8"/>
  <c r="N114" i="8"/>
  <c r="AT113" i="8"/>
  <c r="AR113" i="8"/>
  <c r="AP113" i="8"/>
  <c r="AN113" i="8"/>
  <c r="AL113" i="8"/>
  <c r="AJ113" i="8"/>
  <c r="AH113" i="8"/>
  <c r="AF113" i="8"/>
  <c r="AD113" i="8"/>
  <c r="AB113" i="8"/>
  <c r="Z113" i="8"/>
  <c r="V113" i="8"/>
  <c r="U113" i="8"/>
  <c r="T113" i="8"/>
  <c r="S113" i="8"/>
  <c r="N113" i="8"/>
  <c r="AT112" i="8"/>
  <c r="AR112" i="8"/>
  <c r="AP112" i="8"/>
  <c r="AN112" i="8"/>
  <c r="AL112" i="8"/>
  <c r="AJ112" i="8"/>
  <c r="AH112" i="8"/>
  <c r="AF112" i="8"/>
  <c r="AD112" i="8"/>
  <c r="AB112" i="8"/>
  <c r="Z112" i="8"/>
  <c r="V112" i="8"/>
  <c r="U112" i="8"/>
  <c r="T112" i="8"/>
  <c r="S112" i="8"/>
  <c r="N112" i="8"/>
  <c r="AT111" i="8"/>
  <c r="AR111" i="8"/>
  <c r="AP111" i="8"/>
  <c r="AN111" i="8"/>
  <c r="AL111" i="8"/>
  <c r="AJ111" i="8"/>
  <c r="AH111" i="8"/>
  <c r="AF111" i="8"/>
  <c r="AD111" i="8"/>
  <c r="AB111" i="8"/>
  <c r="Z111" i="8"/>
  <c r="V111" i="8"/>
  <c r="U111" i="8"/>
  <c r="T111" i="8"/>
  <c r="S111" i="8"/>
  <c r="N111" i="8"/>
  <c r="AT110" i="8"/>
  <c r="AR110" i="8"/>
  <c r="AP110" i="8"/>
  <c r="AN110" i="8"/>
  <c r="AL110" i="8"/>
  <c r="AJ110" i="8"/>
  <c r="AH110" i="8"/>
  <c r="AF110" i="8"/>
  <c r="AD110" i="8"/>
  <c r="AB110" i="8"/>
  <c r="Z110" i="8"/>
  <c r="V110" i="8"/>
  <c r="U110" i="8"/>
  <c r="T110" i="8"/>
  <c r="S110" i="8"/>
  <c r="N110" i="8"/>
  <c r="AT109" i="8"/>
  <c r="AR109" i="8"/>
  <c r="AP109" i="8"/>
  <c r="AN109" i="8"/>
  <c r="AL109" i="8"/>
  <c r="AJ109" i="8"/>
  <c r="AH109" i="8"/>
  <c r="AF109" i="8"/>
  <c r="AD109" i="8"/>
  <c r="AB109" i="8"/>
  <c r="Z109" i="8"/>
  <c r="V109" i="8"/>
  <c r="U109" i="8"/>
  <c r="T109" i="8"/>
  <c r="S109" i="8"/>
  <c r="N109" i="8"/>
  <c r="AT108" i="8"/>
  <c r="AR108" i="8"/>
  <c r="AP108" i="8"/>
  <c r="AN108" i="8"/>
  <c r="AL108" i="8"/>
  <c r="AJ108" i="8"/>
  <c r="AH108" i="8"/>
  <c r="AF108" i="8"/>
  <c r="AD108" i="8"/>
  <c r="AB108" i="8"/>
  <c r="Z108" i="8"/>
  <c r="V108" i="8"/>
  <c r="U108" i="8"/>
  <c r="T108" i="8"/>
  <c r="S108" i="8"/>
  <c r="N108" i="8"/>
  <c r="AT107" i="8"/>
  <c r="AR107" i="8"/>
  <c r="AP107" i="8"/>
  <c r="AN107" i="8"/>
  <c r="AL107" i="8"/>
  <c r="AJ107" i="8"/>
  <c r="AH107" i="8"/>
  <c r="AF107" i="8"/>
  <c r="AD107" i="8"/>
  <c r="AB107" i="8"/>
  <c r="Z107" i="8"/>
  <c r="V107" i="8"/>
  <c r="U107" i="8"/>
  <c r="T107" i="8"/>
  <c r="S107" i="8"/>
  <c r="N107" i="8"/>
  <c r="AT106" i="8"/>
  <c r="AR106" i="8"/>
  <c r="AP106" i="8"/>
  <c r="AN106" i="8"/>
  <c r="AL106" i="8"/>
  <c r="AJ106" i="8"/>
  <c r="AH106" i="8"/>
  <c r="AF106" i="8"/>
  <c r="AD106" i="8"/>
  <c r="AB106" i="8"/>
  <c r="Z106" i="8"/>
  <c r="V106" i="8"/>
  <c r="U106" i="8"/>
  <c r="T106" i="8"/>
  <c r="S106" i="8"/>
  <c r="N106" i="8"/>
  <c r="AT105" i="8"/>
  <c r="AR105" i="8"/>
  <c r="AP105" i="8"/>
  <c r="AN105" i="8"/>
  <c r="AL105" i="8"/>
  <c r="AJ105" i="8"/>
  <c r="AH105" i="8"/>
  <c r="AF105" i="8"/>
  <c r="AD105" i="8"/>
  <c r="AB105" i="8"/>
  <c r="Z105" i="8"/>
  <c r="V105" i="8"/>
  <c r="U105" i="8"/>
  <c r="T105" i="8"/>
  <c r="S105" i="8"/>
  <c r="N105" i="8"/>
  <c r="AT104" i="8"/>
  <c r="AR104" i="8"/>
  <c r="AP104" i="8"/>
  <c r="AN104" i="8"/>
  <c r="AL104" i="8"/>
  <c r="AJ104" i="8"/>
  <c r="AH104" i="8"/>
  <c r="AF104" i="8"/>
  <c r="AD104" i="8"/>
  <c r="AB104" i="8"/>
  <c r="Z104" i="8"/>
  <c r="V104" i="8"/>
  <c r="U104" i="8"/>
  <c r="T104" i="8"/>
  <c r="S104" i="8"/>
  <c r="N104" i="8"/>
  <c r="AT103" i="8"/>
  <c r="AR103" i="8"/>
  <c r="AP103" i="8"/>
  <c r="AN103" i="8"/>
  <c r="AL103" i="8"/>
  <c r="AJ103" i="8"/>
  <c r="AH103" i="8"/>
  <c r="AF103" i="8"/>
  <c r="AD103" i="8"/>
  <c r="AB103" i="8"/>
  <c r="Z103" i="8"/>
  <c r="V103" i="8"/>
  <c r="U103" i="8"/>
  <c r="T103" i="8"/>
  <c r="S103" i="8"/>
  <c r="N103" i="8"/>
  <c r="AT102" i="8"/>
  <c r="AR102" i="8"/>
  <c r="AP102" i="8"/>
  <c r="AN102" i="8"/>
  <c r="AL102" i="8"/>
  <c r="AJ102" i="8"/>
  <c r="AH102" i="8"/>
  <c r="AF102" i="8"/>
  <c r="AD102" i="8"/>
  <c r="AB102" i="8"/>
  <c r="Z102" i="8"/>
  <c r="V102" i="8"/>
  <c r="U102" i="8"/>
  <c r="T102" i="8"/>
  <c r="S102" i="8"/>
  <c r="N102" i="8"/>
  <c r="AT101" i="8"/>
  <c r="AR101" i="8"/>
  <c r="AP101" i="8"/>
  <c r="AN101" i="8"/>
  <c r="AL101" i="8"/>
  <c r="AJ101" i="8"/>
  <c r="AH101" i="8"/>
  <c r="AF101" i="8"/>
  <c r="AD101" i="8"/>
  <c r="AB101" i="8"/>
  <c r="Z101" i="8"/>
  <c r="V101" i="8"/>
  <c r="U101" i="8"/>
  <c r="T101" i="8"/>
  <c r="S101" i="8"/>
  <c r="N101" i="8"/>
  <c r="AT100" i="8"/>
  <c r="AR100" i="8"/>
  <c r="AP100" i="8"/>
  <c r="AN100" i="8"/>
  <c r="AL100" i="8"/>
  <c r="AJ100" i="8"/>
  <c r="AH100" i="8"/>
  <c r="AF100" i="8"/>
  <c r="AD100" i="8"/>
  <c r="AB100" i="8"/>
  <c r="Z100" i="8"/>
  <c r="V100" i="8"/>
  <c r="U100" i="8"/>
  <c r="T100" i="8"/>
  <c r="S100" i="8"/>
  <c r="N100" i="8"/>
  <c r="AT99" i="8"/>
  <c r="AR99" i="8"/>
  <c r="AP99" i="8"/>
  <c r="AN99" i="8"/>
  <c r="AL99" i="8"/>
  <c r="AJ99" i="8"/>
  <c r="AH99" i="8"/>
  <c r="AF99" i="8"/>
  <c r="AD99" i="8"/>
  <c r="AB99" i="8"/>
  <c r="Z99" i="8"/>
  <c r="V99" i="8"/>
  <c r="U99" i="8"/>
  <c r="T99" i="8"/>
  <c r="S99" i="8"/>
  <c r="N99" i="8"/>
  <c r="AT98" i="8"/>
  <c r="AR98" i="8"/>
  <c r="AP98" i="8"/>
  <c r="AN98" i="8"/>
  <c r="AL98" i="8"/>
  <c r="AJ98" i="8"/>
  <c r="AH98" i="8"/>
  <c r="AF98" i="8"/>
  <c r="AD98" i="8"/>
  <c r="AB98" i="8"/>
  <c r="Z98" i="8"/>
  <c r="V98" i="8"/>
  <c r="U98" i="8"/>
  <c r="T98" i="8"/>
  <c r="S98" i="8"/>
  <c r="N98" i="8"/>
  <c r="AT97" i="8"/>
  <c r="AR97" i="8"/>
  <c r="AP97" i="8"/>
  <c r="AN97" i="8"/>
  <c r="AL97" i="8"/>
  <c r="AJ97" i="8"/>
  <c r="AH97" i="8"/>
  <c r="AF97" i="8"/>
  <c r="AD97" i="8"/>
  <c r="AB97" i="8"/>
  <c r="Z97" i="8"/>
  <c r="V97" i="8"/>
  <c r="U97" i="8"/>
  <c r="T97" i="8"/>
  <c r="S97" i="8"/>
  <c r="N97" i="8"/>
  <c r="AT96" i="8"/>
  <c r="AR96" i="8"/>
  <c r="AP96" i="8"/>
  <c r="AN96" i="8"/>
  <c r="AL96" i="8"/>
  <c r="AJ96" i="8"/>
  <c r="AH96" i="8"/>
  <c r="AF96" i="8"/>
  <c r="AD96" i="8"/>
  <c r="AB96" i="8"/>
  <c r="Z96" i="8"/>
  <c r="V96" i="8"/>
  <c r="U96" i="8"/>
  <c r="T96" i="8"/>
  <c r="S96" i="8"/>
  <c r="N96" i="8"/>
  <c r="AT95" i="8"/>
  <c r="AR95" i="8"/>
  <c r="AP95" i="8"/>
  <c r="AN95" i="8"/>
  <c r="AL95" i="8"/>
  <c r="AJ95" i="8"/>
  <c r="AH95" i="8"/>
  <c r="AF95" i="8"/>
  <c r="AD95" i="8"/>
  <c r="AB95" i="8"/>
  <c r="Z95" i="8"/>
  <c r="V95" i="8"/>
  <c r="U95" i="8"/>
  <c r="T95" i="8"/>
  <c r="S95" i="8"/>
  <c r="N95" i="8"/>
  <c r="AT94" i="8"/>
  <c r="AR94" i="8"/>
  <c r="AP94" i="8"/>
  <c r="AN94" i="8"/>
  <c r="AL94" i="8"/>
  <c r="AJ94" i="8"/>
  <c r="AH94" i="8"/>
  <c r="AF94" i="8"/>
  <c r="AD94" i="8"/>
  <c r="AB94" i="8"/>
  <c r="Z94" i="8"/>
  <c r="V94" i="8"/>
  <c r="U94" i="8"/>
  <c r="T94" i="8"/>
  <c r="S94" i="8"/>
  <c r="N94" i="8"/>
  <c r="AT93" i="8"/>
  <c r="AR93" i="8"/>
  <c r="AP93" i="8"/>
  <c r="AN93" i="8"/>
  <c r="AL93" i="8"/>
  <c r="AJ93" i="8"/>
  <c r="AH93" i="8"/>
  <c r="AF93" i="8"/>
  <c r="AD93" i="8"/>
  <c r="AB93" i="8"/>
  <c r="Z93" i="8"/>
  <c r="V93" i="8"/>
  <c r="U93" i="8"/>
  <c r="T93" i="8"/>
  <c r="S93" i="8"/>
  <c r="N93" i="8"/>
  <c r="AT92" i="8"/>
  <c r="AR92" i="8"/>
  <c r="AP92" i="8"/>
  <c r="AN92" i="8"/>
  <c r="AL92" i="8"/>
  <c r="AJ92" i="8"/>
  <c r="AH92" i="8"/>
  <c r="AF92" i="8"/>
  <c r="AD92" i="8"/>
  <c r="AB92" i="8"/>
  <c r="Z92" i="8"/>
  <c r="V92" i="8"/>
  <c r="U92" i="8"/>
  <c r="T92" i="8"/>
  <c r="S92" i="8"/>
  <c r="N92" i="8"/>
  <c r="AT91" i="8"/>
  <c r="AR91" i="8"/>
  <c r="AP91" i="8"/>
  <c r="AN91" i="8"/>
  <c r="AL91" i="8"/>
  <c r="AJ91" i="8"/>
  <c r="AH91" i="8"/>
  <c r="AF91" i="8"/>
  <c r="AD91" i="8"/>
  <c r="AB91" i="8"/>
  <c r="Z91" i="8"/>
  <c r="V91" i="8"/>
  <c r="U91" i="8"/>
  <c r="T91" i="8"/>
  <c r="S91" i="8"/>
  <c r="N91" i="8"/>
  <c r="AT90" i="8"/>
  <c r="AR90" i="8"/>
  <c r="AP90" i="8"/>
  <c r="AN90" i="8"/>
  <c r="AL90" i="8"/>
  <c r="AJ90" i="8"/>
  <c r="AH90" i="8"/>
  <c r="AF90" i="8"/>
  <c r="AD90" i="8"/>
  <c r="AB90" i="8"/>
  <c r="Z90" i="8"/>
  <c r="V90" i="8"/>
  <c r="U90" i="8"/>
  <c r="T90" i="8"/>
  <c r="S90" i="8"/>
  <c r="N90" i="8"/>
  <c r="AT89" i="8"/>
  <c r="AR89" i="8"/>
  <c r="AP89" i="8"/>
  <c r="AN89" i="8"/>
  <c r="AL89" i="8"/>
  <c r="AJ89" i="8"/>
  <c r="AH89" i="8"/>
  <c r="AF89" i="8"/>
  <c r="AD89" i="8"/>
  <c r="AB89" i="8"/>
  <c r="Z89" i="8"/>
  <c r="V89" i="8"/>
  <c r="U89" i="8"/>
  <c r="T89" i="8"/>
  <c r="S89" i="8"/>
  <c r="N89" i="8"/>
  <c r="AT88" i="8"/>
  <c r="AR88" i="8"/>
  <c r="AP88" i="8"/>
  <c r="AN88" i="8"/>
  <c r="AL88" i="8"/>
  <c r="AJ88" i="8"/>
  <c r="AH88" i="8"/>
  <c r="AF88" i="8"/>
  <c r="AD88" i="8"/>
  <c r="AB88" i="8"/>
  <c r="Z88" i="8"/>
  <c r="V88" i="8"/>
  <c r="U88" i="8"/>
  <c r="T88" i="8"/>
  <c r="S88" i="8"/>
  <c r="N88" i="8"/>
  <c r="AT87" i="8"/>
  <c r="AR87" i="8"/>
  <c r="AP87" i="8"/>
  <c r="AN87" i="8"/>
  <c r="AL87" i="8"/>
  <c r="AJ87" i="8"/>
  <c r="AH87" i="8"/>
  <c r="AF87" i="8"/>
  <c r="AD87" i="8"/>
  <c r="AB87" i="8"/>
  <c r="Z87" i="8"/>
  <c r="V87" i="8"/>
  <c r="U87" i="8"/>
  <c r="T87" i="8"/>
  <c r="S87" i="8"/>
  <c r="N87" i="8"/>
  <c r="AT86" i="8"/>
  <c r="AR86" i="8"/>
  <c r="AP86" i="8"/>
  <c r="AN86" i="8"/>
  <c r="AL86" i="8"/>
  <c r="AJ86" i="8"/>
  <c r="AH86" i="8"/>
  <c r="AF86" i="8"/>
  <c r="AD86" i="8"/>
  <c r="AB86" i="8"/>
  <c r="Z86" i="8"/>
  <c r="V86" i="8"/>
  <c r="U86" i="8"/>
  <c r="T86" i="8"/>
  <c r="S86" i="8"/>
  <c r="N86" i="8"/>
  <c r="AT85" i="8"/>
  <c r="AR85" i="8"/>
  <c r="AP85" i="8"/>
  <c r="AN85" i="8"/>
  <c r="AL85" i="8"/>
  <c r="AJ85" i="8"/>
  <c r="AH85" i="8"/>
  <c r="AF85" i="8"/>
  <c r="AD85" i="8"/>
  <c r="AB85" i="8"/>
  <c r="Z85" i="8"/>
  <c r="V85" i="8"/>
  <c r="U85" i="8"/>
  <c r="T85" i="8"/>
  <c r="S85" i="8"/>
  <c r="N85" i="8"/>
  <c r="AT84" i="8"/>
  <c r="AR84" i="8"/>
  <c r="AP84" i="8"/>
  <c r="AN84" i="8"/>
  <c r="AL84" i="8"/>
  <c r="AJ84" i="8"/>
  <c r="AH84" i="8"/>
  <c r="AF84" i="8"/>
  <c r="AD84" i="8"/>
  <c r="AB84" i="8"/>
  <c r="Z84" i="8"/>
  <c r="V84" i="8"/>
  <c r="U84" i="8"/>
  <c r="T84" i="8"/>
  <c r="S84" i="8"/>
  <c r="N84" i="8"/>
  <c r="AT83" i="8"/>
  <c r="AR83" i="8"/>
  <c r="AP83" i="8"/>
  <c r="AN83" i="8"/>
  <c r="AL83" i="8"/>
  <c r="AJ83" i="8"/>
  <c r="AH83" i="8"/>
  <c r="AF83" i="8"/>
  <c r="AD83" i="8"/>
  <c r="AB83" i="8"/>
  <c r="Z83" i="8"/>
  <c r="V83" i="8"/>
  <c r="U83" i="8"/>
  <c r="T83" i="8"/>
  <c r="S83" i="8"/>
  <c r="N83" i="8"/>
  <c r="AT82" i="8"/>
  <c r="AR82" i="8"/>
  <c r="AP82" i="8"/>
  <c r="AN82" i="8"/>
  <c r="AL82" i="8"/>
  <c r="AJ82" i="8"/>
  <c r="AH82" i="8"/>
  <c r="AF82" i="8"/>
  <c r="AD82" i="8"/>
  <c r="AB82" i="8"/>
  <c r="Z82" i="8"/>
  <c r="V82" i="8"/>
  <c r="U82" i="8"/>
  <c r="T82" i="8"/>
  <c r="S82" i="8"/>
  <c r="N82" i="8"/>
  <c r="AT81" i="8"/>
  <c r="AR81" i="8"/>
  <c r="AP81" i="8"/>
  <c r="AN81" i="8"/>
  <c r="AL81" i="8"/>
  <c r="AJ81" i="8"/>
  <c r="AH81" i="8"/>
  <c r="AF81" i="8"/>
  <c r="AD81" i="8"/>
  <c r="AB81" i="8"/>
  <c r="Z81" i="8"/>
  <c r="V81" i="8"/>
  <c r="U81" i="8"/>
  <c r="T81" i="8"/>
  <c r="S81" i="8"/>
  <c r="N81" i="8"/>
  <c r="AT80" i="8"/>
  <c r="AR80" i="8"/>
  <c r="AP80" i="8"/>
  <c r="AN80" i="8"/>
  <c r="AL80" i="8"/>
  <c r="AJ80" i="8"/>
  <c r="AH80" i="8"/>
  <c r="AF80" i="8"/>
  <c r="AD80" i="8"/>
  <c r="AB80" i="8"/>
  <c r="Z80" i="8"/>
  <c r="V80" i="8"/>
  <c r="U80" i="8"/>
  <c r="T80" i="8"/>
  <c r="S80" i="8"/>
  <c r="N80" i="8"/>
  <c r="AT79" i="8"/>
  <c r="AR79" i="8"/>
  <c r="AP79" i="8"/>
  <c r="AN79" i="8"/>
  <c r="AL79" i="8"/>
  <c r="AJ79" i="8"/>
  <c r="AH79" i="8"/>
  <c r="AF79" i="8"/>
  <c r="AD79" i="8"/>
  <c r="AB79" i="8"/>
  <c r="Z79" i="8"/>
  <c r="V79" i="8"/>
  <c r="U79" i="8"/>
  <c r="T79" i="8"/>
  <c r="S79" i="8"/>
  <c r="N79" i="8"/>
  <c r="AT78" i="8"/>
  <c r="AR78" i="8"/>
  <c r="AP78" i="8"/>
  <c r="AN78" i="8"/>
  <c r="AL78" i="8"/>
  <c r="AJ78" i="8"/>
  <c r="AH78" i="8"/>
  <c r="AF78" i="8"/>
  <c r="AD78" i="8"/>
  <c r="AB78" i="8"/>
  <c r="Z78" i="8"/>
  <c r="V78" i="8"/>
  <c r="U78" i="8"/>
  <c r="T78" i="8"/>
  <c r="S78" i="8"/>
  <c r="N78" i="8"/>
  <c r="AT77" i="8"/>
  <c r="AR77" i="8"/>
  <c r="AP77" i="8"/>
  <c r="AN77" i="8"/>
  <c r="AL77" i="8"/>
  <c r="AJ77" i="8"/>
  <c r="AH77" i="8"/>
  <c r="AF77" i="8"/>
  <c r="AD77" i="8"/>
  <c r="AB77" i="8"/>
  <c r="Z77" i="8"/>
  <c r="V77" i="8"/>
  <c r="U77" i="8"/>
  <c r="T77" i="8"/>
  <c r="S77" i="8"/>
  <c r="N77" i="8"/>
  <c r="AT76" i="8"/>
  <c r="AR76" i="8"/>
  <c r="AP76" i="8"/>
  <c r="AN76" i="8"/>
  <c r="AL76" i="8"/>
  <c r="AJ76" i="8"/>
  <c r="AH76" i="8"/>
  <c r="AF76" i="8"/>
  <c r="AD76" i="8"/>
  <c r="AB76" i="8"/>
  <c r="Z76" i="8"/>
  <c r="V76" i="8"/>
  <c r="U76" i="8"/>
  <c r="T76" i="8"/>
  <c r="S76" i="8"/>
  <c r="N76" i="8"/>
  <c r="AT75" i="8"/>
  <c r="AR75" i="8"/>
  <c r="AP75" i="8"/>
  <c r="AN75" i="8"/>
  <c r="AL75" i="8"/>
  <c r="AJ75" i="8"/>
  <c r="AH75" i="8"/>
  <c r="AF75" i="8"/>
  <c r="AD75" i="8"/>
  <c r="AB75" i="8"/>
  <c r="Z75" i="8"/>
  <c r="V75" i="8"/>
  <c r="U75" i="8"/>
  <c r="T75" i="8"/>
  <c r="S75" i="8"/>
  <c r="N75" i="8"/>
  <c r="AT74" i="8"/>
  <c r="AR74" i="8"/>
  <c r="AP74" i="8"/>
  <c r="AN74" i="8"/>
  <c r="AL74" i="8"/>
  <c r="AJ74" i="8"/>
  <c r="AH74" i="8"/>
  <c r="AF74" i="8"/>
  <c r="AD74" i="8"/>
  <c r="AB74" i="8"/>
  <c r="Z74" i="8"/>
  <c r="V74" i="8"/>
  <c r="U74" i="8"/>
  <c r="T74" i="8"/>
  <c r="S74" i="8"/>
  <c r="N74" i="8"/>
  <c r="AT73" i="8"/>
  <c r="AR73" i="8"/>
  <c r="AP73" i="8"/>
  <c r="AN73" i="8"/>
  <c r="AL73" i="8"/>
  <c r="AJ73" i="8"/>
  <c r="AH73" i="8"/>
  <c r="AF73" i="8"/>
  <c r="AD73" i="8"/>
  <c r="AB73" i="8"/>
  <c r="Z73" i="8"/>
  <c r="V73" i="8"/>
  <c r="U73" i="8"/>
  <c r="T73" i="8"/>
  <c r="S73" i="8"/>
  <c r="N73" i="8"/>
  <c r="AT72" i="8"/>
  <c r="AR72" i="8"/>
  <c r="AP72" i="8"/>
  <c r="AN72" i="8"/>
  <c r="AL72" i="8"/>
  <c r="AJ72" i="8"/>
  <c r="AH72" i="8"/>
  <c r="AF72" i="8"/>
  <c r="AD72" i="8"/>
  <c r="AB72" i="8"/>
  <c r="Z72" i="8"/>
  <c r="V72" i="8"/>
  <c r="U72" i="8"/>
  <c r="T72" i="8"/>
  <c r="S72" i="8"/>
  <c r="N72" i="8"/>
  <c r="AT71" i="8"/>
  <c r="AR71" i="8"/>
  <c r="AP71" i="8"/>
  <c r="AN71" i="8"/>
  <c r="AL71" i="8"/>
  <c r="AJ71" i="8"/>
  <c r="AH71" i="8"/>
  <c r="AF71" i="8"/>
  <c r="AD71" i="8"/>
  <c r="AB71" i="8"/>
  <c r="Z71" i="8"/>
  <c r="V71" i="8"/>
  <c r="U71" i="8"/>
  <c r="T71" i="8"/>
  <c r="S71" i="8"/>
  <c r="N71" i="8"/>
  <c r="AT70" i="8"/>
  <c r="AR70" i="8"/>
  <c r="AP70" i="8"/>
  <c r="AN70" i="8"/>
  <c r="AL70" i="8"/>
  <c r="AJ70" i="8"/>
  <c r="AH70" i="8"/>
  <c r="AF70" i="8"/>
  <c r="AD70" i="8"/>
  <c r="AB70" i="8"/>
  <c r="Z70" i="8"/>
  <c r="V70" i="8"/>
  <c r="U70" i="8"/>
  <c r="T70" i="8"/>
  <c r="S70" i="8"/>
  <c r="N70" i="8"/>
  <c r="AT69" i="8"/>
  <c r="AR69" i="8"/>
  <c r="AP69" i="8"/>
  <c r="AN69" i="8"/>
  <c r="AL69" i="8"/>
  <c r="AJ69" i="8"/>
  <c r="AH69" i="8"/>
  <c r="AF69" i="8"/>
  <c r="AD69" i="8"/>
  <c r="AB69" i="8"/>
  <c r="Z69" i="8"/>
  <c r="V69" i="8"/>
  <c r="U69" i="8"/>
  <c r="T69" i="8"/>
  <c r="S69" i="8"/>
  <c r="N69" i="8"/>
  <c r="AT68" i="8"/>
  <c r="AR68" i="8"/>
  <c r="AP68" i="8"/>
  <c r="AN68" i="8"/>
  <c r="AL68" i="8"/>
  <c r="AJ68" i="8"/>
  <c r="AH68" i="8"/>
  <c r="AF68" i="8"/>
  <c r="AD68" i="8"/>
  <c r="AB68" i="8"/>
  <c r="Z68" i="8"/>
  <c r="V68" i="8"/>
  <c r="U68" i="8"/>
  <c r="T68" i="8"/>
  <c r="S68" i="8"/>
  <c r="N68" i="8"/>
  <c r="AT67" i="8"/>
  <c r="AR67" i="8"/>
  <c r="AP67" i="8"/>
  <c r="AN67" i="8"/>
  <c r="AL67" i="8"/>
  <c r="AJ67" i="8"/>
  <c r="AH67" i="8"/>
  <c r="AF67" i="8"/>
  <c r="AD67" i="8"/>
  <c r="AB67" i="8"/>
  <c r="Z67" i="8"/>
  <c r="V67" i="8"/>
  <c r="U67" i="8"/>
  <c r="T67" i="8"/>
  <c r="S67" i="8"/>
  <c r="N67" i="8"/>
  <c r="AT66" i="8"/>
  <c r="AR66" i="8"/>
  <c r="AP66" i="8"/>
  <c r="AN66" i="8"/>
  <c r="AL66" i="8"/>
  <c r="AJ66" i="8"/>
  <c r="AH66" i="8"/>
  <c r="AF66" i="8"/>
  <c r="AD66" i="8"/>
  <c r="AB66" i="8"/>
  <c r="Z66" i="8"/>
  <c r="V66" i="8"/>
  <c r="U66" i="8"/>
  <c r="T66" i="8"/>
  <c r="S66" i="8"/>
  <c r="N66" i="8"/>
  <c r="AT65" i="8"/>
  <c r="AR65" i="8"/>
  <c r="AP65" i="8"/>
  <c r="AN65" i="8"/>
  <c r="AL65" i="8"/>
  <c r="AJ65" i="8"/>
  <c r="AH65" i="8"/>
  <c r="AF65" i="8"/>
  <c r="AD65" i="8"/>
  <c r="AB65" i="8"/>
  <c r="Z65" i="8"/>
  <c r="V65" i="8"/>
  <c r="U65" i="8"/>
  <c r="T65" i="8"/>
  <c r="S65" i="8"/>
  <c r="N65" i="8"/>
  <c r="AT64" i="8"/>
  <c r="AR64" i="8"/>
  <c r="AP64" i="8"/>
  <c r="AN64" i="8"/>
  <c r="AL64" i="8"/>
  <c r="AJ64" i="8"/>
  <c r="AH64" i="8"/>
  <c r="AF64" i="8"/>
  <c r="AD64" i="8"/>
  <c r="AB64" i="8"/>
  <c r="Z64" i="8"/>
  <c r="V64" i="8"/>
  <c r="U64" i="8"/>
  <c r="T64" i="8"/>
  <c r="S64" i="8"/>
  <c r="N64" i="8"/>
  <c r="AT63" i="8"/>
  <c r="AR63" i="8"/>
  <c r="AP63" i="8"/>
  <c r="AN63" i="8"/>
  <c r="AL63" i="8"/>
  <c r="AJ63" i="8"/>
  <c r="AH63" i="8"/>
  <c r="AF63" i="8"/>
  <c r="AD63" i="8"/>
  <c r="AB63" i="8"/>
  <c r="Z63" i="8"/>
  <c r="V63" i="8"/>
  <c r="U63" i="8"/>
  <c r="T63" i="8"/>
  <c r="S63" i="8"/>
  <c r="N63" i="8"/>
  <c r="AT62" i="8"/>
  <c r="AR62" i="8"/>
  <c r="AP62" i="8"/>
  <c r="AN62" i="8"/>
  <c r="AL62" i="8"/>
  <c r="AJ62" i="8"/>
  <c r="AH62" i="8"/>
  <c r="AF62" i="8"/>
  <c r="AD62" i="8"/>
  <c r="AB62" i="8"/>
  <c r="Z62" i="8"/>
  <c r="V62" i="8"/>
  <c r="U62" i="8"/>
  <c r="T62" i="8"/>
  <c r="S62" i="8"/>
  <c r="N62" i="8"/>
  <c r="AT61" i="8"/>
  <c r="AR61" i="8"/>
  <c r="AP61" i="8"/>
  <c r="AN61" i="8"/>
  <c r="AL61" i="8"/>
  <c r="AJ61" i="8"/>
  <c r="AH61" i="8"/>
  <c r="AF61" i="8"/>
  <c r="AD61" i="8"/>
  <c r="AB61" i="8"/>
  <c r="Z61" i="8"/>
  <c r="V61" i="8"/>
  <c r="U61" i="8"/>
  <c r="T61" i="8"/>
  <c r="S61" i="8"/>
  <c r="N61" i="8"/>
  <c r="AT60" i="8"/>
  <c r="AR60" i="8"/>
  <c r="AP60" i="8"/>
  <c r="AN60" i="8"/>
  <c r="AL60" i="8"/>
  <c r="AJ60" i="8"/>
  <c r="AH60" i="8"/>
  <c r="AF60" i="8"/>
  <c r="AD60" i="8"/>
  <c r="AB60" i="8"/>
  <c r="Z60" i="8"/>
  <c r="V60" i="8"/>
  <c r="U60" i="8"/>
  <c r="T60" i="8"/>
  <c r="S60" i="8"/>
  <c r="N60" i="8"/>
  <c r="AT59" i="8"/>
  <c r="AR59" i="8"/>
  <c r="AP59" i="8"/>
  <c r="AN59" i="8"/>
  <c r="AL59" i="8"/>
  <c r="AJ59" i="8"/>
  <c r="AH59" i="8"/>
  <c r="AF59" i="8"/>
  <c r="AD59" i="8"/>
  <c r="AB59" i="8"/>
  <c r="Z59" i="8"/>
  <c r="V59" i="8"/>
  <c r="U59" i="8"/>
  <c r="T59" i="8"/>
  <c r="S59" i="8"/>
  <c r="N59" i="8"/>
  <c r="AT58" i="8"/>
  <c r="AR58" i="8"/>
  <c r="AP58" i="8"/>
  <c r="AN58" i="8"/>
  <c r="AL58" i="8"/>
  <c r="AJ58" i="8"/>
  <c r="AH58" i="8"/>
  <c r="AF58" i="8"/>
  <c r="AD58" i="8"/>
  <c r="AB58" i="8"/>
  <c r="Z58" i="8"/>
  <c r="V58" i="8"/>
  <c r="U58" i="8"/>
  <c r="T58" i="8"/>
  <c r="S58" i="8"/>
  <c r="N58" i="8"/>
  <c r="AT57" i="8"/>
  <c r="AR57" i="8"/>
  <c r="AP57" i="8"/>
  <c r="AN57" i="8"/>
  <c r="AL57" i="8"/>
  <c r="AJ57" i="8"/>
  <c r="AH57" i="8"/>
  <c r="AF57" i="8"/>
  <c r="AD57" i="8"/>
  <c r="AB57" i="8"/>
  <c r="Z57" i="8"/>
  <c r="V57" i="8"/>
  <c r="U57" i="8"/>
  <c r="T57" i="8"/>
  <c r="S57" i="8"/>
  <c r="N57" i="8"/>
  <c r="AT56" i="8"/>
  <c r="AR56" i="8"/>
  <c r="AP56" i="8"/>
  <c r="AN56" i="8"/>
  <c r="AL56" i="8"/>
  <c r="AJ56" i="8"/>
  <c r="AH56" i="8"/>
  <c r="AF56" i="8"/>
  <c r="AD56" i="8"/>
  <c r="AB56" i="8"/>
  <c r="Z56" i="8"/>
  <c r="V56" i="8"/>
  <c r="U56" i="8"/>
  <c r="T56" i="8"/>
  <c r="S56" i="8"/>
  <c r="N56" i="8"/>
  <c r="AT55" i="8"/>
  <c r="AR55" i="8"/>
  <c r="AP55" i="8"/>
  <c r="AN55" i="8"/>
  <c r="AL55" i="8"/>
  <c r="AJ55" i="8"/>
  <c r="AH55" i="8"/>
  <c r="AF55" i="8"/>
  <c r="AD55" i="8"/>
  <c r="AB55" i="8"/>
  <c r="Z55" i="8"/>
  <c r="V55" i="8"/>
  <c r="U55" i="8"/>
  <c r="T55" i="8"/>
  <c r="S55" i="8"/>
  <c r="N55" i="8"/>
  <c r="AT54" i="8"/>
  <c r="AR54" i="8"/>
  <c r="AP54" i="8"/>
  <c r="AN54" i="8"/>
  <c r="AL54" i="8"/>
  <c r="AJ54" i="8"/>
  <c r="AH54" i="8"/>
  <c r="AF54" i="8"/>
  <c r="AD54" i="8"/>
  <c r="AB54" i="8"/>
  <c r="Z54" i="8"/>
  <c r="V54" i="8"/>
  <c r="U54" i="8"/>
  <c r="T54" i="8"/>
  <c r="S54" i="8"/>
  <c r="N54" i="8"/>
  <c r="AT53" i="8"/>
  <c r="AR53" i="8"/>
  <c r="AP53" i="8"/>
  <c r="AN53" i="8"/>
  <c r="AL53" i="8"/>
  <c r="AJ53" i="8"/>
  <c r="AH53" i="8"/>
  <c r="AF53" i="8"/>
  <c r="AD53" i="8"/>
  <c r="AB53" i="8"/>
  <c r="Z53" i="8"/>
  <c r="V53" i="8"/>
  <c r="U53" i="8"/>
  <c r="T53" i="8"/>
  <c r="S53" i="8"/>
  <c r="N53" i="8"/>
  <c r="AT52" i="8"/>
  <c r="AR52" i="8"/>
  <c r="AP52" i="8"/>
  <c r="AN52" i="8"/>
  <c r="AL52" i="8"/>
  <c r="AJ52" i="8"/>
  <c r="AH52" i="8"/>
  <c r="AF52" i="8"/>
  <c r="AD52" i="8"/>
  <c r="AB52" i="8"/>
  <c r="Z52" i="8"/>
  <c r="V52" i="8"/>
  <c r="U52" i="8"/>
  <c r="T52" i="8"/>
  <c r="S52" i="8"/>
  <c r="N52" i="8"/>
  <c r="AT51" i="8"/>
  <c r="AR51" i="8"/>
  <c r="AP51" i="8"/>
  <c r="AN51" i="8"/>
  <c r="AL51" i="8"/>
  <c r="AJ51" i="8"/>
  <c r="AH51" i="8"/>
  <c r="AF51" i="8"/>
  <c r="AD51" i="8"/>
  <c r="AB51" i="8"/>
  <c r="Z51" i="8"/>
  <c r="V51" i="8"/>
  <c r="U51" i="8"/>
  <c r="T51" i="8"/>
  <c r="S51" i="8"/>
  <c r="N51" i="8"/>
  <c r="AT50" i="8"/>
  <c r="AR50" i="8"/>
  <c r="AP50" i="8"/>
  <c r="AN50" i="8"/>
  <c r="AL50" i="8"/>
  <c r="AJ50" i="8"/>
  <c r="AH50" i="8"/>
  <c r="AF50" i="8"/>
  <c r="AD50" i="8"/>
  <c r="AB50" i="8"/>
  <c r="Z50" i="8"/>
  <c r="V50" i="8"/>
  <c r="U50" i="8"/>
  <c r="T50" i="8"/>
  <c r="S50" i="8"/>
  <c r="N50" i="8"/>
  <c r="AT49" i="8"/>
  <c r="AR49" i="8"/>
  <c r="AP49" i="8"/>
  <c r="AN49" i="8"/>
  <c r="AL49" i="8"/>
  <c r="AJ49" i="8"/>
  <c r="AH49" i="8"/>
  <c r="AF49" i="8"/>
  <c r="AD49" i="8"/>
  <c r="AB49" i="8"/>
  <c r="Z49" i="8"/>
  <c r="V49" i="8"/>
  <c r="U49" i="8"/>
  <c r="T49" i="8"/>
  <c r="S49" i="8"/>
  <c r="N49" i="8"/>
  <c r="AT48" i="8"/>
  <c r="AR48" i="8"/>
  <c r="AP48" i="8"/>
  <c r="AN48" i="8"/>
  <c r="AL48" i="8"/>
  <c r="AJ48" i="8"/>
  <c r="AH48" i="8"/>
  <c r="AF48" i="8"/>
  <c r="AD48" i="8"/>
  <c r="AB48" i="8"/>
  <c r="Z48" i="8"/>
  <c r="V48" i="8"/>
  <c r="U48" i="8"/>
  <c r="T48" i="8"/>
  <c r="S48" i="8"/>
  <c r="N48" i="8"/>
  <c r="AT47" i="8"/>
  <c r="AR47" i="8"/>
  <c r="AP47" i="8"/>
  <c r="AN47" i="8"/>
  <c r="AL47" i="8"/>
  <c r="AJ47" i="8"/>
  <c r="AH47" i="8"/>
  <c r="AF47" i="8"/>
  <c r="AD47" i="8"/>
  <c r="AB47" i="8"/>
  <c r="Z47" i="8"/>
  <c r="V47" i="8"/>
  <c r="U47" i="8"/>
  <c r="T47" i="8"/>
  <c r="S47" i="8"/>
  <c r="N47" i="8"/>
  <c r="AT46" i="8"/>
  <c r="AR46" i="8"/>
  <c r="AP46" i="8"/>
  <c r="AN46" i="8"/>
  <c r="AL46" i="8"/>
  <c r="AJ46" i="8"/>
  <c r="AH46" i="8"/>
  <c r="AF46" i="8"/>
  <c r="AD46" i="8"/>
  <c r="AB46" i="8"/>
  <c r="Z46" i="8"/>
  <c r="V46" i="8"/>
  <c r="U46" i="8"/>
  <c r="T46" i="8"/>
  <c r="S46" i="8"/>
  <c r="N46" i="8"/>
  <c r="AT45" i="8"/>
  <c r="AR45" i="8"/>
  <c r="AP45" i="8"/>
  <c r="AN45" i="8"/>
  <c r="AL45" i="8"/>
  <c r="AJ45" i="8"/>
  <c r="AH45" i="8"/>
  <c r="AF45" i="8"/>
  <c r="AD45" i="8"/>
  <c r="AB45" i="8"/>
  <c r="Z45" i="8"/>
  <c r="V45" i="8"/>
  <c r="U45" i="8"/>
  <c r="T45" i="8"/>
  <c r="S45" i="8"/>
  <c r="N45" i="8"/>
  <c r="AT44" i="8"/>
  <c r="AR44" i="8"/>
  <c r="AP44" i="8"/>
  <c r="AN44" i="8"/>
  <c r="AL44" i="8"/>
  <c r="AJ44" i="8"/>
  <c r="AH44" i="8"/>
  <c r="AF44" i="8"/>
  <c r="AD44" i="8"/>
  <c r="AB44" i="8"/>
  <c r="Z44" i="8"/>
  <c r="V44" i="8"/>
  <c r="U44" i="8"/>
  <c r="T44" i="8"/>
  <c r="S44" i="8"/>
  <c r="N44" i="8"/>
  <c r="AT43" i="8"/>
  <c r="AR43" i="8"/>
  <c r="AP43" i="8"/>
  <c r="AN43" i="8"/>
  <c r="AL43" i="8"/>
  <c r="AJ43" i="8"/>
  <c r="AH43" i="8"/>
  <c r="AF43" i="8"/>
  <c r="AD43" i="8"/>
  <c r="AB43" i="8"/>
  <c r="Z43" i="8"/>
  <c r="V43" i="8"/>
  <c r="U43" i="8"/>
  <c r="T43" i="8"/>
  <c r="S43" i="8"/>
  <c r="N43" i="8"/>
  <c r="AT42" i="8"/>
  <c r="AR42" i="8"/>
  <c r="AP42" i="8"/>
  <c r="AN42" i="8"/>
  <c r="AL42" i="8"/>
  <c r="AJ42" i="8"/>
  <c r="AH42" i="8"/>
  <c r="AF42" i="8"/>
  <c r="AD42" i="8"/>
  <c r="AB42" i="8"/>
  <c r="Z42" i="8"/>
  <c r="V42" i="8"/>
  <c r="U42" i="8"/>
  <c r="T42" i="8"/>
  <c r="S42" i="8"/>
  <c r="N42" i="8"/>
  <c r="AT41" i="8"/>
  <c r="AR41" i="8"/>
  <c r="AP41" i="8"/>
  <c r="AN41" i="8"/>
  <c r="AL41" i="8"/>
  <c r="AJ41" i="8"/>
  <c r="AH41" i="8"/>
  <c r="AF41" i="8"/>
  <c r="AD41" i="8"/>
  <c r="AB41" i="8"/>
  <c r="Z41" i="8"/>
  <c r="V41" i="8"/>
  <c r="U41" i="8"/>
  <c r="T41" i="8"/>
  <c r="S41" i="8"/>
  <c r="N41" i="8"/>
  <c r="AT40" i="8"/>
  <c r="AR40" i="8"/>
  <c r="AP40" i="8"/>
  <c r="AN40" i="8"/>
  <c r="AL40" i="8"/>
  <c r="AJ40" i="8"/>
  <c r="AH40" i="8"/>
  <c r="AF40" i="8"/>
  <c r="AD40" i="8"/>
  <c r="AB40" i="8"/>
  <c r="Z40" i="8"/>
  <c r="V40" i="8"/>
  <c r="U40" i="8"/>
  <c r="T40" i="8"/>
  <c r="S40" i="8"/>
  <c r="N40" i="8"/>
  <c r="AT39" i="8"/>
  <c r="AR39" i="8"/>
  <c r="AP39" i="8"/>
  <c r="AN39" i="8"/>
  <c r="AL39" i="8"/>
  <c r="AJ39" i="8"/>
  <c r="AH39" i="8"/>
  <c r="AF39" i="8"/>
  <c r="AD39" i="8"/>
  <c r="AB39" i="8"/>
  <c r="Z39" i="8"/>
  <c r="V39" i="8"/>
  <c r="U39" i="8"/>
  <c r="T39" i="8"/>
  <c r="S39" i="8"/>
  <c r="N39" i="8"/>
  <c r="AT38" i="8"/>
  <c r="AR38" i="8"/>
  <c r="AP38" i="8"/>
  <c r="AN38" i="8"/>
  <c r="AL38" i="8"/>
  <c r="AJ38" i="8"/>
  <c r="AH38" i="8"/>
  <c r="AF38" i="8"/>
  <c r="AD38" i="8"/>
  <c r="AB38" i="8"/>
  <c r="Z38" i="8"/>
  <c r="V38" i="8"/>
  <c r="U38" i="8"/>
  <c r="T38" i="8"/>
  <c r="S38" i="8"/>
  <c r="N38" i="8"/>
  <c r="AT37" i="8"/>
  <c r="AR37" i="8"/>
  <c r="AP37" i="8"/>
  <c r="AN37" i="8"/>
  <c r="AL37" i="8"/>
  <c r="AJ37" i="8"/>
  <c r="AH37" i="8"/>
  <c r="AF37" i="8"/>
  <c r="AD37" i="8"/>
  <c r="AB37" i="8"/>
  <c r="Z37" i="8"/>
  <c r="V37" i="8"/>
  <c r="U37" i="8"/>
  <c r="T37" i="8"/>
  <c r="S37" i="8"/>
  <c r="N37" i="8"/>
  <c r="AT36" i="8"/>
  <c r="AR36" i="8"/>
  <c r="AP36" i="8"/>
  <c r="AN36" i="8"/>
  <c r="AL36" i="8"/>
  <c r="AJ36" i="8"/>
  <c r="AH36" i="8"/>
  <c r="AF36" i="8"/>
  <c r="AD36" i="8"/>
  <c r="AB36" i="8"/>
  <c r="Z36" i="8"/>
  <c r="V36" i="8"/>
  <c r="U36" i="8"/>
  <c r="T36" i="8"/>
  <c r="S36" i="8"/>
  <c r="N36" i="8"/>
  <c r="AT35" i="8"/>
  <c r="AR35" i="8"/>
  <c r="AP35" i="8"/>
  <c r="AN35" i="8"/>
  <c r="AL35" i="8"/>
  <c r="AJ35" i="8"/>
  <c r="AH35" i="8"/>
  <c r="AF35" i="8"/>
  <c r="AD35" i="8"/>
  <c r="AB35" i="8"/>
  <c r="Z35" i="8"/>
  <c r="V35" i="8"/>
  <c r="U35" i="8"/>
  <c r="T35" i="8"/>
  <c r="S35" i="8"/>
  <c r="N35" i="8"/>
  <c r="AT34" i="8"/>
  <c r="AR34" i="8"/>
  <c r="AP34" i="8"/>
  <c r="AN34" i="8"/>
  <c r="AL34" i="8"/>
  <c r="AJ34" i="8"/>
  <c r="AH34" i="8"/>
  <c r="AF34" i="8"/>
  <c r="AD34" i="8"/>
  <c r="AB34" i="8"/>
  <c r="Z34" i="8"/>
  <c r="V34" i="8"/>
  <c r="U34" i="8"/>
  <c r="T34" i="8"/>
  <c r="S34" i="8"/>
  <c r="N34" i="8"/>
  <c r="AT33" i="8"/>
  <c r="AR33" i="8"/>
  <c r="AP33" i="8"/>
  <c r="AN33" i="8"/>
  <c r="AL33" i="8"/>
  <c r="AJ33" i="8"/>
  <c r="AH33" i="8"/>
  <c r="AF33" i="8"/>
  <c r="AD33" i="8"/>
  <c r="AB33" i="8"/>
  <c r="Z33" i="8"/>
  <c r="V33" i="8"/>
  <c r="U33" i="8"/>
  <c r="T33" i="8"/>
  <c r="S33" i="8"/>
  <c r="N33" i="8"/>
  <c r="AT32" i="8"/>
  <c r="AR32" i="8"/>
  <c r="AP32" i="8"/>
  <c r="AN32" i="8"/>
  <c r="AL32" i="8"/>
  <c r="AJ32" i="8"/>
  <c r="AH32" i="8"/>
  <c r="AF32" i="8"/>
  <c r="AD32" i="8"/>
  <c r="AB32" i="8"/>
  <c r="Z32" i="8"/>
  <c r="V32" i="8"/>
  <c r="U32" i="8"/>
  <c r="T32" i="8"/>
  <c r="S32" i="8"/>
  <c r="N32" i="8"/>
  <c r="AT31" i="8"/>
  <c r="AR31" i="8"/>
  <c r="AP31" i="8"/>
  <c r="AN31" i="8"/>
  <c r="AL31" i="8"/>
  <c r="AJ31" i="8"/>
  <c r="AH31" i="8"/>
  <c r="AF31" i="8"/>
  <c r="AD31" i="8"/>
  <c r="AB31" i="8"/>
  <c r="Z31" i="8"/>
  <c r="V31" i="8"/>
  <c r="U31" i="8"/>
  <c r="T31" i="8"/>
  <c r="S31" i="8"/>
  <c r="N31" i="8"/>
  <c r="AT30" i="8"/>
  <c r="AR30" i="8"/>
  <c r="AP30" i="8"/>
  <c r="AN30" i="8"/>
  <c r="AL30" i="8"/>
  <c r="AJ30" i="8"/>
  <c r="AH30" i="8"/>
  <c r="AF30" i="8"/>
  <c r="AD30" i="8"/>
  <c r="AB30" i="8"/>
  <c r="Z30" i="8"/>
  <c r="V30" i="8"/>
  <c r="U30" i="8"/>
  <c r="T30" i="8"/>
  <c r="S30" i="8"/>
  <c r="N30" i="8"/>
  <c r="AT29" i="8"/>
  <c r="AR29" i="8"/>
  <c r="AP29" i="8"/>
  <c r="AN29" i="8"/>
  <c r="AL29" i="8"/>
  <c r="AJ29" i="8"/>
  <c r="AH29" i="8"/>
  <c r="AF29" i="8"/>
  <c r="AD29" i="8"/>
  <c r="AB29" i="8"/>
  <c r="Z29" i="8"/>
  <c r="V29" i="8"/>
  <c r="U29" i="8"/>
  <c r="T29" i="8"/>
  <c r="S29" i="8"/>
  <c r="N29" i="8"/>
  <c r="AT28" i="8"/>
  <c r="AR28" i="8"/>
  <c r="AP28" i="8"/>
  <c r="AN28" i="8"/>
  <c r="AL28" i="8"/>
  <c r="AJ28" i="8"/>
  <c r="AH28" i="8"/>
  <c r="AF28" i="8"/>
  <c r="AD28" i="8"/>
  <c r="AB28" i="8"/>
  <c r="Z28" i="8"/>
  <c r="V28" i="8"/>
  <c r="U28" i="8"/>
  <c r="T28" i="8"/>
  <c r="S28" i="8"/>
  <c r="N28" i="8"/>
  <c r="AT27" i="8"/>
  <c r="AR27" i="8"/>
  <c r="AP27" i="8"/>
  <c r="AN27" i="8"/>
  <c r="AL27" i="8"/>
  <c r="AJ27" i="8"/>
  <c r="AH27" i="8"/>
  <c r="AF27" i="8"/>
  <c r="AD27" i="8"/>
  <c r="AB27" i="8"/>
  <c r="Z27" i="8"/>
  <c r="V27" i="8"/>
  <c r="U27" i="8"/>
  <c r="T27" i="8"/>
  <c r="S27" i="8"/>
  <c r="N27" i="8"/>
  <c r="AT26" i="8"/>
  <c r="AR26" i="8"/>
  <c r="AP26" i="8"/>
  <c r="AN26" i="8"/>
  <c r="AL26" i="8"/>
  <c r="AJ26" i="8"/>
  <c r="AH26" i="8"/>
  <c r="AF26" i="8"/>
  <c r="AD26" i="8"/>
  <c r="AB26" i="8"/>
  <c r="Z26" i="8"/>
  <c r="V26" i="8"/>
  <c r="U26" i="8"/>
  <c r="T26" i="8"/>
  <c r="S26" i="8"/>
  <c r="N26" i="8"/>
  <c r="AT25" i="8"/>
  <c r="AR25" i="8"/>
  <c r="AP25" i="8"/>
  <c r="AN25" i="8"/>
  <c r="AL25" i="8"/>
  <c r="AJ25" i="8"/>
  <c r="AH25" i="8"/>
  <c r="AF25" i="8"/>
  <c r="AD25" i="8"/>
  <c r="AB25" i="8"/>
  <c r="Z25" i="8"/>
  <c r="V25" i="8"/>
  <c r="U25" i="8"/>
  <c r="T25" i="8"/>
  <c r="S25" i="8"/>
  <c r="N25" i="8"/>
  <c r="AT24" i="8"/>
  <c r="AR24" i="8"/>
  <c r="AP24" i="8"/>
  <c r="AN24" i="8"/>
  <c r="AL24" i="8"/>
  <c r="AJ24" i="8"/>
  <c r="AH24" i="8"/>
  <c r="AF24" i="8"/>
  <c r="AD24" i="8"/>
  <c r="AB24" i="8"/>
  <c r="Z24" i="8"/>
  <c r="V24" i="8"/>
  <c r="U24" i="8"/>
  <c r="T24" i="8"/>
  <c r="S24" i="8"/>
  <c r="N24" i="8"/>
  <c r="AT23" i="8"/>
  <c r="AR23" i="8"/>
  <c r="AP23" i="8"/>
  <c r="AN23" i="8"/>
  <c r="AL23" i="8"/>
  <c r="AJ23" i="8"/>
  <c r="AH23" i="8"/>
  <c r="AF23" i="8"/>
  <c r="AD23" i="8"/>
  <c r="AB23" i="8"/>
  <c r="Z23" i="8"/>
  <c r="V23" i="8"/>
  <c r="U23" i="8"/>
  <c r="T23" i="8"/>
  <c r="S23" i="8"/>
  <c r="N23" i="8"/>
  <c r="AT22" i="8"/>
  <c r="AR22" i="8"/>
  <c r="AP22" i="8"/>
  <c r="AN22" i="8"/>
  <c r="AL22" i="8"/>
  <c r="AJ22" i="8"/>
  <c r="AH22" i="8"/>
  <c r="AF22" i="8"/>
  <c r="AD22" i="8"/>
  <c r="AB22" i="8"/>
  <c r="Z22" i="8"/>
  <c r="V22" i="8"/>
  <c r="U22" i="8"/>
  <c r="T22" i="8"/>
  <c r="S22" i="8"/>
  <c r="N22" i="8"/>
  <c r="AT21" i="8"/>
  <c r="AR21" i="8"/>
  <c r="AP21" i="8"/>
  <c r="AN21" i="8"/>
  <c r="AL21" i="8"/>
  <c r="AJ21" i="8"/>
  <c r="AH21" i="8"/>
  <c r="AF21" i="8"/>
  <c r="AD21" i="8"/>
  <c r="AB21" i="8"/>
  <c r="Z21" i="8"/>
  <c r="V21" i="8"/>
  <c r="U21" i="8"/>
  <c r="T21" i="8"/>
  <c r="S21" i="8"/>
  <c r="N21" i="8"/>
  <c r="AT20" i="8"/>
  <c r="AR20" i="8"/>
  <c r="AP20" i="8"/>
  <c r="AN20" i="8"/>
  <c r="AL20" i="8"/>
  <c r="AJ20" i="8"/>
  <c r="AH20" i="8"/>
  <c r="AF20" i="8"/>
  <c r="AD20" i="8"/>
  <c r="AB20" i="8"/>
  <c r="Z20" i="8"/>
  <c r="V20" i="8"/>
  <c r="U20" i="8"/>
  <c r="T20" i="8"/>
  <c r="S20" i="8"/>
  <c r="N20" i="8"/>
  <c r="AT19" i="8"/>
  <c r="AR19" i="8"/>
  <c r="AP19" i="8"/>
  <c r="AN19" i="8"/>
  <c r="AL19" i="8"/>
  <c r="AJ19" i="8"/>
  <c r="AH19" i="8"/>
  <c r="AF19" i="8"/>
  <c r="AD19" i="8"/>
  <c r="AB19" i="8"/>
  <c r="Z19" i="8"/>
  <c r="V19" i="8"/>
  <c r="U19" i="8"/>
  <c r="T19" i="8"/>
  <c r="S19" i="8"/>
  <c r="N19" i="8"/>
  <c r="AT18" i="8"/>
  <c r="AR18" i="8"/>
  <c r="AP18" i="8"/>
  <c r="AN18" i="8"/>
  <c r="AL18" i="8"/>
  <c r="AJ18" i="8"/>
  <c r="AH18" i="8"/>
  <c r="AF18" i="8"/>
  <c r="AD18" i="8"/>
  <c r="AB18" i="8"/>
  <c r="Z18" i="8"/>
  <c r="V18" i="8"/>
  <c r="U18" i="8"/>
  <c r="T18" i="8"/>
  <c r="N18" i="8"/>
  <c r="X156" i="8" l="1"/>
  <c r="X81" i="8"/>
  <c r="X25" i="8"/>
  <c r="X41" i="8"/>
  <c r="X57" i="8"/>
  <c r="X61" i="8"/>
  <c r="X69" i="8"/>
  <c r="X153" i="8"/>
  <c r="X34" i="8"/>
  <c r="X126" i="8"/>
  <c r="X97" i="8"/>
  <c r="X113" i="8"/>
  <c r="X114" i="8"/>
  <c r="X49" i="8"/>
  <c r="X105" i="8"/>
  <c r="X77" i="8"/>
  <c r="X137" i="8"/>
  <c r="X19" i="8"/>
  <c r="X99" i="8"/>
  <c r="X89" i="8"/>
  <c r="X92" i="8"/>
  <c r="X145" i="8"/>
  <c r="X144" i="8"/>
  <c r="X55" i="8"/>
  <c r="X121" i="8"/>
  <c r="X141" i="8"/>
  <c r="X42" i="8"/>
  <c r="X46" i="8"/>
  <c r="X129" i="8"/>
  <c r="X135" i="8"/>
  <c r="X50" i="8"/>
  <c r="X54" i="8"/>
  <c r="X63" i="8"/>
  <c r="X71" i="8"/>
  <c r="X79" i="8"/>
  <c r="X85" i="8"/>
  <c r="X88" i="8"/>
  <c r="X100" i="8"/>
  <c r="X107" i="8"/>
  <c r="X122" i="8"/>
  <c r="X134" i="8"/>
  <c r="X143" i="8"/>
  <c r="X149" i="8"/>
  <c r="X152" i="8"/>
  <c r="X20" i="8"/>
  <c r="X24" i="8"/>
  <c r="X35" i="8"/>
  <c r="X62" i="8"/>
  <c r="X70" i="8"/>
  <c r="X78" i="8"/>
  <c r="X87" i="8"/>
  <c r="X93" i="8"/>
  <c r="X96" i="8"/>
  <c r="X108" i="8"/>
  <c r="X115" i="8"/>
  <c r="X130" i="8"/>
  <c r="X142" i="8"/>
  <c r="X151" i="8"/>
  <c r="X157" i="8"/>
  <c r="X28" i="8"/>
  <c r="X32" i="8"/>
  <c r="X36" i="8"/>
  <c r="X40" i="8"/>
  <c r="X43" i="8"/>
  <c r="X58" i="8"/>
  <c r="X66" i="8"/>
  <c r="X74" i="8"/>
  <c r="X86" i="8"/>
  <c r="X95" i="8"/>
  <c r="X101" i="8"/>
  <c r="X104" i="8"/>
  <c r="X116" i="8"/>
  <c r="X123" i="8"/>
  <c r="X138" i="8"/>
  <c r="X150" i="8"/>
  <c r="X21" i="8"/>
  <c r="X33" i="8"/>
  <c r="X44" i="8"/>
  <c r="X48" i="8"/>
  <c r="X51" i="8"/>
  <c r="X82" i="8"/>
  <c r="X94" i="8"/>
  <c r="X103" i="8"/>
  <c r="X109" i="8"/>
  <c r="X112" i="8"/>
  <c r="X124" i="8"/>
  <c r="X131" i="8"/>
  <c r="X146" i="8"/>
  <c r="X158" i="8"/>
  <c r="X18" i="8"/>
  <c r="X23" i="8"/>
  <c r="X29" i="8"/>
  <c r="X37" i="8"/>
  <c r="X52" i="8"/>
  <c r="X56" i="8"/>
  <c r="X59" i="8"/>
  <c r="X67" i="8"/>
  <c r="X75" i="8"/>
  <c r="X90" i="8"/>
  <c r="X102" i="8"/>
  <c r="X111" i="8"/>
  <c r="X117" i="8"/>
  <c r="X120" i="8"/>
  <c r="X132" i="8"/>
  <c r="X139" i="8"/>
  <c r="X154" i="8"/>
  <c r="X27" i="8"/>
  <c r="X22" i="8"/>
  <c r="X31" i="8"/>
  <c r="X39" i="8"/>
  <c r="X45" i="8"/>
  <c r="X60" i="8"/>
  <c r="X64" i="8"/>
  <c r="X68" i="8"/>
  <c r="X72" i="8"/>
  <c r="X76" i="8"/>
  <c r="X80" i="8"/>
  <c r="X83" i="8"/>
  <c r="X98" i="8"/>
  <c r="X110" i="8"/>
  <c r="X119" i="8"/>
  <c r="X125" i="8"/>
  <c r="X128" i="8"/>
  <c r="X140" i="8"/>
  <c r="X147" i="8"/>
  <c r="X26" i="8"/>
  <c r="X30" i="8"/>
  <c r="X38" i="8"/>
  <c r="X47" i="8"/>
  <c r="X53" i="8"/>
  <c r="X65" i="8"/>
  <c r="X73" i="8"/>
  <c r="X84" i="8"/>
  <c r="X91" i="8"/>
  <c r="X106" i="8"/>
  <c r="X118" i="8"/>
  <c r="X127" i="8"/>
  <c r="X133" i="8"/>
  <c r="X136" i="8"/>
  <c r="X148" i="8"/>
  <c r="X155" i="8"/>
  <c r="AZ18" i="8" l="1"/>
  <c r="BQ18" i="8" s="1" a="1"/>
  <c r="BQ18" i="8" s="1"/>
  <c r="AZ26" i="8"/>
  <c r="BQ26" i="8" s="1" a="1"/>
  <c r="BQ26" i="8" s="1"/>
  <c r="AZ34" i="8"/>
  <c r="BQ34" i="8" s="1" a="1"/>
  <c r="BQ34" i="8" s="1"/>
  <c r="AZ42" i="8"/>
  <c r="BQ42" i="8" s="1" a="1"/>
  <c r="BQ42" i="8" s="1"/>
  <c r="AZ50" i="8"/>
  <c r="BQ50" i="8" s="1" a="1"/>
  <c r="BQ50" i="8" s="1"/>
  <c r="AZ58" i="8"/>
  <c r="BQ58" i="8" s="1" a="1"/>
  <c r="BQ58" i="8" s="1"/>
  <c r="AZ66" i="8"/>
  <c r="BQ66" i="8" s="1" a="1"/>
  <c r="BQ66" i="8" s="1"/>
  <c r="AZ74" i="8"/>
  <c r="BQ74" i="8" s="1" a="1"/>
  <c r="BQ74" i="8" s="1"/>
  <c r="AZ82" i="8"/>
  <c r="BQ82" i="8" s="1" a="1"/>
  <c r="BQ82" i="8" s="1"/>
  <c r="AZ90" i="8"/>
  <c r="BQ90" i="8" s="1" a="1"/>
  <c r="BQ90" i="8" s="1"/>
  <c r="AZ98" i="8"/>
  <c r="BQ98" i="8" s="1" a="1"/>
  <c r="BQ98" i="8" s="1"/>
  <c r="AZ106" i="8"/>
  <c r="BQ106" i="8" s="1" a="1"/>
  <c r="BQ106" i="8" s="1"/>
  <c r="AZ114" i="8"/>
  <c r="BQ114" i="8" s="1" a="1"/>
  <c r="BQ114" i="8" s="1"/>
  <c r="AZ122" i="8"/>
  <c r="BQ122" i="8" s="1" a="1"/>
  <c r="BQ122" i="8" s="1"/>
  <c r="AZ130" i="8"/>
  <c r="BQ130" i="8" s="1" a="1"/>
  <c r="BQ130" i="8" s="1"/>
  <c r="AZ138" i="8"/>
  <c r="BQ138" i="8" s="1" a="1"/>
  <c r="BQ138" i="8" s="1"/>
  <c r="AZ146" i="8"/>
  <c r="BQ146" i="8" s="1" a="1"/>
  <c r="BQ146" i="8" s="1"/>
  <c r="AZ154" i="8"/>
  <c r="BQ154" i="8" s="1" a="1"/>
  <c r="BQ154" i="8" s="1"/>
  <c r="AZ104" i="8"/>
  <c r="BQ104" i="8" s="1" a="1"/>
  <c r="BQ104" i="8" s="1"/>
  <c r="AZ19" i="8"/>
  <c r="BQ19" i="8" s="1" a="1"/>
  <c r="BQ19" i="8" s="1"/>
  <c r="AZ27" i="8"/>
  <c r="BQ27" i="8" s="1" a="1"/>
  <c r="BQ27" i="8" s="1"/>
  <c r="AZ35" i="8"/>
  <c r="BQ35" i="8" s="1" a="1"/>
  <c r="BQ35" i="8" s="1"/>
  <c r="AZ43" i="8"/>
  <c r="BQ43" i="8" s="1" a="1"/>
  <c r="BQ43" i="8" s="1"/>
  <c r="AZ51" i="8"/>
  <c r="BQ51" i="8" s="1" a="1"/>
  <c r="BQ51" i="8" s="1"/>
  <c r="AZ59" i="8"/>
  <c r="BQ59" i="8" s="1" a="1"/>
  <c r="BQ59" i="8" s="1"/>
  <c r="AZ67" i="8"/>
  <c r="BQ67" i="8" s="1" a="1"/>
  <c r="BQ67" i="8" s="1"/>
  <c r="AZ75" i="8"/>
  <c r="BQ75" i="8" s="1" a="1"/>
  <c r="BQ75" i="8" s="1"/>
  <c r="AZ83" i="8"/>
  <c r="BQ83" i="8" s="1" a="1"/>
  <c r="BQ83" i="8" s="1"/>
  <c r="AZ91" i="8"/>
  <c r="BQ91" i="8" s="1" a="1"/>
  <c r="BQ91" i="8" s="1"/>
  <c r="AZ99" i="8"/>
  <c r="BQ99" i="8" s="1" a="1"/>
  <c r="BQ99" i="8" s="1"/>
  <c r="AZ107" i="8"/>
  <c r="BQ107" i="8" s="1" a="1"/>
  <c r="BQ107" i="8" s="1"/>
  <c r="AZ115" i="8"/>
  <c r="BQ115" i="8" s="1" a="1"/>
  <c r="BQ115" i="8" s="1"/>
  <c r="AZ123" i="8"/>
  <c r="BQ123" i="8" s="1" a="1"/>
  <c r="BQ123" i="8" s="1"/>
  <c r="AZ131" i="8"/>
  <c r="BQ131" i="8" s="1" a="1"/>
  <c r="BQ131" i="8" s="1"/>
  <c r="AZ139" i="8"/>
  <c r="BQ139" i="8" s="1" a="1"/>
  <c r="BQ139" i="8" s="1"/>
  <c r="AZ147" i="8"/>
  <c r="BQ147" i="8" s="1" a="1"/>
  <c r="BQ147" i="8" s="1"/>
  <c r="AZ155" i="8"/>
  <c r="BQ155" i="8" s="1" a="1"/>
  <c r="BQ155" i="8" s="1"/>
  <c r="AZ20" i="8"/>
  <c r="BQ20" i="8" s="1" a="1"/>
  <c r="BQ20" i="8" s="1"/>
  <c r="AZ28" i="8"/>
  <c r="BQ28" i="8" s="1" a="1"/>
  <c r="BQ28" i="8" s="1"/>
  <c r="AZ36" i="8"/>
  <c r="BQ36" i="8" s="1" a="1"/>
  <c r="BQ36" i="8" s="1"/>
  <c r="AZ44" i="8"/>
  <c r="BQ44" i="8" s="1" a="1"/>
  <c r="BQ44" i="8" s="1"/>
  <c r="AZ52" i="8"/>
  <c r="BQ52" i="8" s="1" a="1"/>
  <c r="BQ52" i="8" s="1"/>
  <c r="AZ60" i="8"/>
  <c r="BQ60" i="8" s="1" a="1"/>
  <c r="BQ60" i="8" s="1"/>
  <c r="AZ68" i="8"/>
  <c r="BQ68" i="8" s="1" a="1"/>
  <c r="BQ68" i="8" s="1"/>
  <c r="AZ76" i="8"/>
  <c r="BQ76" i="8" s="1" a="1"/>
  <c r="BQ76" i="8" s="1"/>
  <c r="AZ84" i="8"/>
  <c r="BQ84" i="8" s="1" a="1"/>
  <c r="BQ84" i="8" s="1"/>
  <c r="AZ92" i="8"/>
  <c r="BQ92" i="8" s="1" a="1"/>
  <c r="BQ92" i="8" s="1"/>
  <c r="AZ100" i="8"/>
  <c r="BQ100" i="8" s="1" a="1"/>
  <c r="BQ100" i="8" s="1"/>
  <c r="AZ108" i="8"/>
  <c r="BQ108" i="8" s="1" a="1"/>
  <c r="BQ108" i="8" s="1"/>
  <c r="AZ116" i="8"/>
  <c r="BQ116" i="8" s="1" a="1"/>
  <c r="BQ116" i="8" s="1"/>
  <c r="AZ124" i="8"/>
  <c r="BQ124" i="8" s="1" a="1"/>
  <c r="BQ124" i="8" s="1"/>
  <c r="AZ132" i="8"/>
  <c r="BQ132" i="8" s="1" a="1"/>
  <c r="BQ132" i="8" s="1"/>
  <c r="AZ140" i="8"/>
  <c r="BQ140" i="8" s="1" a="1"/>
  <c r="BQ140" i="8" s="1"/>
  <c r="AZ148" i="8"/>
  <c r="BQ148" i="8" s="1" a="1"/>
  <c r="BQ148" i="8" s="1"/>
  <c r="AZ156" i="8"/>
  <c r="BQ156" i="8" s="1" a="1"/>
  <c r="BQ156" i="8" s="1"/>
  <c r="AZ112" i="8"/>
  <c r="BQ112" i="8" s="1" a="1"/>
  <c r="BQ112" i="8" s="1"/>
  <c r="AZ21" i="8"/>
  <c r="BQ21" i="8" s="1" a="1"/>
  <c r="BQ21" i="8" s="1"/>
  <c r="AZ29" i="8"/>
  <c r="BQ29" i="8" s="1" a="1"/>
  <c r="BQ29" i="8" s="1"/>
  <c r="AZ37" i="8"/>
  <c r="BQ37" i="8" s="1" a="1"/>
  <c r="BQ37" i="8" s="1"/>
  <c r="AZ45" i="8"/>
  <c r="BQ45" i="8" s="1" a="1"/>
  <c r="BQ45" i="8" s="1"/>
  <c r="AZ53" i="8"/>
  <c r="BQ53" i="8" s="1" a="1"/>
  <c r="BQ53" i="8" s="1"/>
  <c r="AZ61" i="8"/>
  <c r="BQ61" i="8" s="1" a="1"/>
  <c r="BQ61" i="8" s="1"/>
  <c r="AZ69" i="8"/>
  <c r="BQ69" i="8" s="1" a="1"/>
  <c r="BQ69" i="8" s="1"/>
  <c r="AZ77" i="8"/>
  <c r="BQ77" i="8" s="1" a="1"/>
  <c r="BQ77" i="8" s="1"/>
  <c r="AZ85" i="8"/>
  <c r="BQ85" i="8" s="1" a="1"/>
  <c r="BQ85" i="8" s="1"/>
  <c r="AZ93" i="8"/>
  <c r="BQ93" i="8" s="1" a="1"/>
  <c r="BQ93" i="8" s="1"/>
  <c r="AZ101" i="8"/>
  <c r="BQ101" i="8" s="1" a="1"/>
  <c r="BQ101" i="8" s="1"/>
  <c r="AZ109" i="8"/>
  <c r="BQ109" i="8" s="1" a="1"/>
  <c r="BQ109" i="8" s="1"/>
  <c r="AZ117" i="8"/>
  <c r="BQ117" i="8" s="1" a="1"/>
  <c r="BQ117" i="8" s="1"/>
  <c r="AZ125" i="8"/>
  <c r="BQ125" i="8" s="1" a="1"/>
  <c r="BQ125" i="8" s="1"/>
  <c r="AZ133" i="8"/>
  <c r="BQ133" i="8" s="1" a="1"/>
  <c r="BQ133" i="8" s="1"/>
  <c r="AZ141" i="8"/>
  <c r="BQ141" i="8" s="1" a="1"/>
  <c r="BQ141" i="8" s="1"/>
  <c r="AZ149" i="8"/>
  <c r="BQ149" i="8" s="1" a="1"/>
  <c r="BQ149" i="8" s="1"/>
  <c r="AZ157" i="8"/>
  <c r="BQ157" i="8" s="1" a="1"/>
  <c r="BQ157" i="8" s="1"/>
  <c r="AZ80" i="8"/>
  <c r="BQ80" i="8" s="1" a="1"/>
  <c r="BQ80" i="8" s="1"/>
  <c r="AZ22" i="8"/>
  <c r="BQ22" i="8" s="1" a="1"/>
  <c r="BQ22" i="8" s="1"/>
  <c r="AZ30" i="8"/>
  <c r="BQ30" i="8" s="1" a="1"/>
  <c r="BQ30" i="8" s="1"/>
  <c r="AZ38" i="8"/>
  <c r="BQ38" i="8" s="1" a="1"/>
  <c r="BQ38" i="8" s="1"/>
  <c r="AZ46" i="8"/>
  <c r="BQ46" i="8" s="1" a="1"/>
  <c r="BQ46" i="8" s="1"/>
  <c r="AZ54" i="8"/>
  <c r="BQ54" i="8" s="1" a="1"/>
  <c r="BQ54" i="8" s="1"/>
  <c r="AZ62" i="8"/>
  <c r="BQ62" i="8" s="1" a="1"/>
  <c r="BQ62" i="8" s="1"/>
  <c r="AZ70" i="8"/>
  <c r="BQ70" i="8" s="1" a="1"/>
  <c r="BQ70" i="8" s="1"/>
  <c r="AZ78" i="8"/>
  <c r="BQ78" i="8" s="1" a="1"/>
  <c r="BQ78" i="8" s="1"/>
  <c r="AZ86" i="8"/>
  <c r="BQ86" i="8" s="1" a="1"/>
  <c r="BQ86" i="8" s="1"/>
  <c r="AZ94" i="8"/>
  <c r="BQ94" i="8" s="1" a="1"/>
  <c r="BQ94" i="8" s="1"/>
  <c r="AZ102" i="8"/>
  <c r="BQ102" i="8" s="1" a="1"/>
  <c r="BQ102" i="8" s="1"/>
  <c r="AZ110" i="8"/>
  <c r="BQ110" i="8" s="1" a="1"/>
  <c r="BQ110" i="8" s="1"/>
  <c r="AZ118" i="8"/>
  <c r="BQ118" i="8" s="1" a="1"/>
  <c r="BQ118" i="8" s="1"/>
  <c r="AZ126" i="8"/>
  <c r="BQ126" i="8" s="1" a="1"/>
  <c r="BQ126" i="8" s="1"/>
  <c r="AZ134" i="8"/>
  <c r="BQ134" i="8" s="1" a="1"/>
  <c r="BQ134" i="8" s="1"/>
  <c r="AZ142" i="8"/>
  <c r="BQ142" i="8" s="1" a="1"/>
  <c r="BQ142" i="8" s="1"/>
  <c r="AZ150" i="8"/>
  <c r="BQ150" i="8" s="1" a="1"/>
  <c r="BQ150" i="8" s="1"/>
  <c r="AZ158" i="8"/>
  <c r="BQ158" i="8" s="1" a="1"/>
  <c r="BQ158" i="8" s="1"/>
  <c r="AZ32" i="8"/>
  <c r="BQ32" i="8" s="1" a="1"/>
  <c r="BQ32" i="8" s="1"/>
  <c r="AZ40" i="8"/>
  <c r="BQ40" i="8" s="1" a="1"/>
  <c r="BQ40" i="8" s="1"/>
  <c r="AZ48" i="8"/>
  <c r="BQ48" i="8" s="1" a="1"/>
  <c r="BQ48" i="8" s="1"/>
  <c r="AZ56" i="8"/>
  <c r="BQ56" i="8" s="1" a="1"/>
  <c r="BQ56" i="8" s="1"/>
  <c r="AZ64" i="8"/>
  <c r="BQ64" i="8" s="1" a="1"/>
  <c r="BQ64" i="8" s="1"/>
  <c r="AZ72" i="8"/>
  <c r="BQ72" i="8" s="1" a="1"/>
  <c r="BQ72" i="8" s="1"/>
  <c r="AZ88" i="8"/>
  <c r="BQ88" i="8" s="1" a="1"/>
  <c r="BQ88" i="8" s="1"/>
  <c r="AZ96" i="8"/>
  <c r="BQ96" i="8" s="1" a="1"/>
  <c r="BQ96" i="8" s="1"/>
  <c r="AZ120" i="8"/>
  <c r="BQ120" i="8" s="1" a="1"/>
  <c r="BQ120" i="8" s="1"/>
  <c r="AZ136" i="8"/>
  <c r="BQ136" i="8" s="1" a="1"/>
  <c r="BQ136" i="8" s="1"/>
  <c r="AZ144" i="8"/>
  <c r="BQ144" i="8" s="1" a="1"/>
  <c r="BQ144" i="8" s="1"/>
  <c r="AZ23" i="8"/>
  <c r="BQ23" i="8" s="1" a="1"/>
  <c r="BQ23" i="8" s="1"/>
  <c r="AZ31" i="8"/>
  <c r="BQ31" i="8" s="1" a="1"/>
  <c r="BQ31" i="8" s="1"/>
  <c r="AZ39" i="8"/>
  <c r="BQ39" i="8" s="1" a="1"/>
  <c r="BQ39" i="8" s="1"/>
  <c r="AZ47" i="8"/>
  <c r="BQ47" i="8" s="1" a="1"/>
  <c r="BQ47" i="8" s="1"/>
  <c r="AZ55" i="8"/>
  <c r="BQ55" i="8" s="1" a="1"/>
  <c r="BQ55" i="8" s="1"/>
  <c r="AZ63" i="8"/>
  <c r="BQ63" i="8" s="1" a="1"/>
  <c r="BQ63" i="8" s="1"/>
  <c r="AZ71" i="8"/>
  <c r="BQ71" i="8" s="1" a="1"/>
  <c r="BQ71" i="8" s="1"/>
  <c r="AZ79" i="8"/>
  <c r="BQ79" i="8" s="1" a="1"/>
  <c r="BQ79" i="8" s="1"/>
  <c r="AZ87" i="8"/>
  <c r="BQ87" i="8" s="1" a="1"/>
  <c r="BQ87" i="8" s="1"/>
  <c r="AZ95" i="8"/>
  <c r="BQ95" i="8" s="1" a="1"/>
  <c r="BQ95" i="8" s="1"/>
  <c r="AZ103" i="8"/>
  <c r="BQ103" i="8" s="1" a="1"/>
  <c r="BQ103" i="8" s="1"/>
  <c r="AZ111" i="8"/>
  <c r="BQ111" i="8" s="1" a="1"/>
  <c r="BQ111" i="8" s="1"/>
  <c r="AZ119" i="8"/>
  <c r="BQ119" i="8" s="1" a="1"/>
  <c r="BQ119" i="8" s="1"/>
  <c r="AZ127" i="8"/>
  <c r="BQ127" i="8" s="1" a="1"/>
  <c r="BQ127" i="8" s="1"/>
  <c r="AZ135" i="8"/>
  <c r="BQ135" i="8" s="1" a="1"/>
  <c r="BQ135" i="8" s="1"/>
  <c r="AZ143" i="8"/>
  <c r="BQ143" i="8" s="1" a="1"/>
  <c r="BQ143" i="8" s="1"/>
  <c r="AZ151" i="8"/>
  <c r="BQ151" i="8" s="1" a="1"/>
  <c r="BQ151" i="8" s="1"/>
  <c r="AZ24" i="8"/>
  <c r="BQ24" i="8" s="1" a="1"/>
  <c r="BQ24" i="8" s="1"/>
  <c r="AZ128" i="8"/>
  <c r="BQ128" i="8" s="1" a="1"/>
  <c r="BQ128" i="8" s="1"/>
  <c r="AZ152" i="8"/>
  <c r="BQ152" i="8" s="1" a="1"/>
  <c r="BQ152" i="8" s="1"/>
  <c r="AZ25" i="8"/>
  <c r="BQ25" i="8" s="1" a="1"/>
  <c r="BQ25" i="8" s="1"/>
  <c r="AZ33" i="8"/>
  <c r="BQ33" i="8" s="1" a="1"/>
  <c r="BQ33" i="8" s="1"/>
  <c r="AZ41" i="8"/>
  <c r="BQ41" i="8" s="1" a="1"/>
  <c r="BQ41" i="8" s="1"/>
  <c r="AZ49" i="8"/>
  <c r="BQ49" i="8" s="1" a="1"/>
  <c r="BQ49" i="8" s="1"/>
  <c r="AZ57" i="8"/>
  <c r="BQ57" i="8" s="1" a="1"/>
  <c r="BQ57" i="8" s="1"/>
  <c r="AZ65" i="8"/>
  <c r="BQ65" i="8" s="1" a="1"/>
  <c r="BQ65" i="8" s="1"/>
  <c r="AZ73" i="8"/>
  <c r="BQ73" i="8" s="1" a="1"/>
  <c r="BQ73" i="8" s="1"/>
  <c r="AZ81" i="8"/>
  <c r="BQ81" i="8" s="1" a="1"/>
  <c r="BQ81" i="8" s="1"/>
  <c r="AZ89" i="8"/>
  <c r="BQ89" i="8" s="1" a="1"/>
  <c r="BQ89" i="8" s="1"/>
  <c r="AZ97" i="8"/>
  <c r="BQ97" i="8" s="1" a="1"/>
  <c r="BQ97" i="8" s="1"/>
  <c r="AZ105" i="8"/>
  <c r="BQ105" i="8" s="1" a="1"/>
  <c r="BQ105" i="8" s="1"/>
  <c r="AZ113" i="8"/>
  <c r="BQ113" i="8" s="1" a="1"/>
  <c r="BQ113" i="8" s="1"/>
  <c r="AZ121" i="8"/>
  <c r="BQ121" i="8" s="1" a="1"/>
  <c r="BQ121" i="8" s="1"/>
  <c r="AZ129" i="8"/>
  <c r="BQ129" i="8" s="1" a="1"/>
  <c r="BQ129" i="8" s="1"/>
  <c r="AZ137" i="8"/>
  <c r="BQ137" i="8" s="1" a="1"/>
  <c r="BQ137" i="8" s="1"/>
  <c r="AZ145" i="8"/>
  <c r="BQ145" i="8" s="1" a="1"/>
  <c r="BQ145" i="8" s="1"/>
  <c r="AZ153" i="8"/>
  <c r="BQ153" i="8" s="1" a="1"/>
  <c r="BQ153" i="8" s="1"/>
  <c r="D8" i="2" l="1"/>
  <c r="D81" i="8"/>
  <c r="D145" i="8"/>
  <c r="D111" i="8"/>
  <c r="D152" i="8"/>
  <c r="D86" i="8"/>
  <c r="D78" i="8"/>
  <c r="D65" i="8"/>
  <c r="D31" i="8"/>
  <c r="D70" i="8"/>
  <c r="D57" i="8"/>
  <c r="D113" i="8"/>
  <c r="D49" i="8"/>
  <c r="D143" i="8"/>
  <c r="D79" i="8"/>
  <c r="D144" i="8"/>
  <c r="D48" i="8"/>
  <c r="D118" i="8"/>
  <c r="D54" i="8"/>
  <c r="D141" i="8"/>
  <c r="D77" i="8"/>
  <c r="D112" i="8"/>
  <c r="D100" i="8"/>
  <c r="D36" i="8"/>
  <c r="D115" i="8"/>
  <c r="D51" i="8"/>
  <c r="D138" i="8"/>
  <c r="D74" i="8"/>
  <c r="D150" i="8"/>
  <c r="D72" i="8"/>
  <c r="D41" i="8"/>
  <c r="D136" i="8"/>
  <c r="D46" i="8"/>
  <c r="D133" i="8"/>
  <c r="D69" i="8"/>
  <c r="D156" i="8"/>
  <c r="D92" i="8"/>
  <c r="D28" i="8"/>
  <c r="D107" i="8"/>
  <c r="D43" i="8"/>
  <c r="D130" i="8"/>
  <c r="D66" i="8"/>
  <c r="D47" i="8"/>
  <c r="D103" i="8"/>
  <c r="D105" i="8"/>
  <c r="D71" i="8"/>
  <c r="D110" i="8"/>
  <c r="D97" i="8"/>
  <c r="D33" i="8"/>
  <c r="D127" i="8"/>
  <c r="D63" i="8"/>
  <c r="D120" i="8"/>
  <c r="D32" i="8"/>
  <c r="D102" i="8"/>
  <c r="D38" i="8"/>
  <c r="D125" i="8"/>
  <c r="D61" i="8"/>
  <c r="D148" i="8"/>
  <c r="D84" i="8"/>
  <c r="D20" i="8"/>
  <c r="D99" i="8"/>
  <c r="D35" i="8"/>
  <c r="D122" i="8"/>
  <c r="D58" i="8"/>
  <c r="D128" i="8"/>
  <c r="D101" i="8"/>
  <c r="D135" i="8"/>
  <c r="D40" i="8"/>
  <c r="D153" i="8"/>
  <c r="D89" i="8"/>
  <c r="D25" i="8"/>
  <c r="D119" i="8"/>
  <c r="D55" i="8"/>
  <c r="D96" i="8"/>
  <c r="D158" i="8"/>
  <c r="D94" i="8"/>
  <c r="D30" i="8"/>
  <c r="D117" i="8"/>
  <c r="D53" i="8"/>
  <c r="D140" i="8"/>
  <c r="D76" i="8"/>
  <c r="D155" i="8"/>
  <c r="D91" i="8"/>
  <c r="D27" i="8"/>
  <c r="D114" i="8"/>
  <c r="D50" i="8"/>
  <c r="D22" i="8"/>
  <c r="D109" i="8"/>
  <c r="D45" i="8"/>
  <c r="D132" i="8"/>
  <c r="D68" i="8"/>
  <c r="D147" i="8"/>
  <c r="D83" i="8"/>
  <c r="D19" i="8"/>
  <c r="D106" i="8"/>
  <c r="D42" i="8"/>
  <c r="D73" i="8"/>
  <c r="D80" i="8"/>
  <c r="D37" i="8"/>
  <c r="D124" i="8"/>
  <c r="D60" i="8"/>
  <c r="D139" i="8"/>
  <c r="D75" i="8"/>
  <c r="D104" i="8"/>
  <c r="D98" i="8"/>
  <c r="D34" i="8"/>
  <c r="D137" i="8"/>
  <c r="D142" i="8"/>
  <c r="D24" i="8"/>
  <c r="D64" i="8"/>
  <c r="D157" i="8"/>
  <c r="D93" i="8"/>
  <c r="D29" i="8"/>
  <c r="D116" i="8"/>
  <c r="D52" i="8"/>
  <c r="D131" i="8"/>
  <c r="D67" i="8"/>
  <c r="D154" i="8"/>
  <c r="D90" i="8"/>
  <c r="D26" i="8"/>
  <c r="D88" i="8"/>
  <c r="D39" i="8"/>
  <c r="D129" i="8"/>
  <c r="D95" i="8"/>
  <c r="D134" i="8"/>
  <c r="D121" i="8"/>
  <c r="D151" i="8"/>
  <c r="D87" i="8"/>
  <c r="D23" i="8"/>
  <c r="D56" i="8"/>
  <c r="D126" i="8"/>
  <c r="D62" i="8"/>
  <c r="D149" i="8"/>
  <c r="D85" i="8"/>
  <c r="D21" i="8"/>
  <c r="D108" i="8"/>
  <c r="D44" i="8"/>
  <c r="D123" i="8"/>
  <c r="D59" i="8"/>
  <c r="D146" i="8"/>
  <c r="D82" i="8"/>
  <c r="D18" i="8"/>
  <c r="N24" i="2"/>
  <c r="N21" i="2"/>
  <c r="N10" i="2"/>
  <c r="N22" i="2"/>
  <c r="N20" i="2"/>
  <c r="N12" i="2"/>
  <c r="N17" i="2"/>
  <c r="N23" i="2"/>
  <c r="N16" i="2"/>
  <c r="N25" i="2"/>
  <c r="N15" i="2"/>
  <c r="N19" i="2"/>
  <c r="N11" i="2"/>
  <c r="N18" i="2"/>
  <c r="D134" i="2" l="1"/>
  <c r="J134" i="2" s="1"/>
  <c r="D130" i="2"/>
  <c r="J130" i="2" s="1"/>
  <c r="D126" i="2"/>
  <c r="J126" i="2" s="1"/>
  <c r="D122" i="2"/>
  <c r="J122" i="2" s="1"/>
  <c r="D118" i="2"/>
  <c r="J118" i="2" s="1"/>
  <c r="D114" i="2"/>
  <c r="J114" i="2" s="1"/>
  <c r="D110" i="2"/>
  <c r="J110" i="2" s="1"/>
  <c r="D106" i="2"/>
  <c r="J106" i="2" s="1"/>
  <c r="D101" i="2"/>
  <c r="J101" i="2" s="1"/>
  <c r="D94" i="2"/>
  <c r="J94" i="2" s="1"/>
  <c r="D90" i="2"/>
  <c r="J90" i="2" s="1"/>
  <c r="D78" i="2"/>
  <c r="J78" i="2" s="1"/>
  <c r="D72" i="2"/>
  <c r="J72" i="2" s="1"/>
  <c r="D64" i="2"/>
  <c r="J64" i="2" s="1"/>
  <c r="D61" i="2"/>
  <c r="J61" i="2" s="1"/>
  <c r="D55" i="2"/>
  <c r="J55" i="2" s="1"/>
  <c r="D49" i="2"/>
  <c r="J49" i="2" s="1"/>
  <c r="D46" i="2"/>
  <c r="J46" i="2" s="1"/>
  <c r="D43" i="2"/>
  <c r="J43" i="2" s="1"/>
  <c r="D36" i="2"/>
  <c r="J36" i="2" s="1"/>
  <c r="D29" i="2"/>
  <c r="J29" i="2" s="1"/>
  <c r="D26" i="2"/>
  <c r="J26" i="2" s="1"/>
  <c r="D16" i="2"/>
  <c r="J16" i="2" s="1"/>
  <c r="P36" i="2"/>
  <c r="O36" i="2"/>
  <c r="N36" i="2"/>
  <c r="D54" i="2"/>
  <c r="J54" i="2" s="1"/>
  <c r="D24" i="2"/>
  <c r="J24" i="2" s="1"/>
  <c r="D12" i="2"/>
  <c r="J12" i="2" s="1"/>
  <c r="O34" i="2"/>
  <c r="D145" i="2"/>
  <c r="J145" i="2" s="1"/>
  <c r="D74" i="2"/>
  <c r="J74" i="2" s="1"/>
  <c r="D65" i="2"/>
  <c r="J65" i="2" s="1"/>
  <c r="D28" i="2"/>
  <c r="J28" i="2" s="1"/>
  <c r="D138" i="2"/>
  <c r="J138" i="2" s="1"/>
  <c r="D133" i="2"/>
  <c r="J133" i="2" s="1"/>
  <c r="D125" i="2"/>
  <c r="J125" i="2" s="1"/>
  <c r="D117" i="2"/>
  <c r="J117" i="2" s="1"/>
  <c r="D109" i="2"/>
  <c r="J109" i="2" s="1"/>
  <c r="D92" i="2"/>
  <c r="J92" i="2" s="1"/>
  <c r="D75" i="2"/>
  <c r="J75" i="2" s="1"/>
  <c r="D71" i="2"/>
  <c r="J71" i="2" s="1"/>
  <c r="D66" i="2"/>
  <c r="J66" i="2" s="1"/>
  <c r="D60" i="2"/>
  <c r="J60" i="2" s="1"/>
  <c r="D57" i="2"/>
  <c r="J57" i="2" s="1"/>
  <c r="D51" i="2"/>
  <c r="J51" i="2" s="1"/>
  <c r="D48" i="2"/>
  <c r="J48" i="2" s="1"/>
  <c r="D44" i="2"/>
  <c r="J44" i="2" s="1"/>
  <c r="D39" i="2"/>
  <c r="J39" i="2" s="1"/>
  <c r="D25" i="2"/>
  <c r="J25" i="2" s="1"/>
  <c r="D22" i="2"/>
  <c r="J22" i="2" s="1"/>
  <c r="D11" i="2"/>
  <c r="J11" i="2" s="1"/>
  <c r="D147" i="2"/>
  <c r="J147" i="2" s="1"/>
  <c r="D143" i="2"/>
  <c r="J143" i="2" s="1"/>
  <c r="P35" i="2"/>
  <c r="O35" i="2"/>
  <c r="N35" i="2"/>
  <c r="D37" i="2"/>
  <c r="J37" i="2" s="1"/>
  <c r="P34" i="2"/>
  <c r="D32" i="2"/>
  <c r="J32" i="2" s="1"/>
  <c r="D149" i="2"/>
  <c r="J149" i="2" s="1"/>
  <c r="D103" i="2"/>
  <c r="J103" i="2" s="1"/>
  <c r="D80" i="2"/>
  <c r="J80" i="2" s="1"/>
  <c r="D50" i="2"/>
  <c r="J50" i="2" s="1"/>
  <c r="D97" i="2"/>
  <c r="J97" i="2" s="1"/>
  <c r="D89" i="2"/>
  <c r="J89" i="2" s="1"/>
  <c r="D85" i="2"/>
  <c r="J85" i="2" s="1"/>
  <c r="D70" i="2"/>
  <c r="J70" i="2" s="1"/>
  <c r="D63" i="2"/>
  <c r="J63" i="2" s="1"/>
  <c r="D52" i="2"/>
  <c r="J52" i="2" s="1"/>
  <c r="D10" i="2"/>
  <c r="J10" i="2" s="1"/>
  <c r="N34" i="2"/>
  <c r="O31" i="2"/>
  <c r="D86" i="2"/>
  <c r="J86" i="2" s="1"/>
  <c r="D17" i="2"/>
  <c r="J17" i="2" s="1"/>
  <c r="D129" i="2"/>
  <c r="J129" i="2" s="1"/>
  <c r="D121" i="2"/>
  <c r="J121" i="2" s="1"/>
  <c r="D113" i="2"/>
  <c r="J113" i="2" s="1"/>
  <c r="D105" i="2"/>
  <c r="J105" i="2" s="1"/>
  <c r="D100" i="2"/>
  <c r="J100" i="2" s="1"/>
  <c r="D96" i="2"/>
  <c r="J96" i="2" s="1"/>
  <c r="D91" i="2"/>
  <c r="J91" i="2" s="1"/>
  <c r="D68" i="2"/>
  <c r="J68" i="2" s="1"/>
  <c r="D62" i="2"/>
  <c r="J62" i="2" s="1"/>
  <c r="D47" i="2"/>
  <c r="J47" i="2" s="1"/>
  <c r="D45" i="2"/>
  <c r="J45" i="2" s="1"/>
  <c r="D34" i="2"/>
  <c r="J34" i="2" s="1"/>
  <c r="D30" i="2"/>
  <c r="J30" i="2" s="1"/>
  <c r="D19" i="2"/>
  <c r="J19" i="2" s="1"/>
  <c r="D15" i="2"/>
  <c r="J15" i="2" s="1"/>
  <c r="D150" i="2"/>
  <c r="J150" i="2" s="1"/>
  <c r="D146" i="2"/>
  <c r="J146" i="2" s="1"/>
  <c r="D142" i="2"/>
  <c r="J142" i="2" s="1"/>
  <c r="P33" i="2"/>
  <c r="O33" i="2"/>
  <c r="N33" i="2"/>
  <c r="D128" i="2"/>
  <c r="J128" i="2" s="1"/>
  <c r="D112" i="2"/>
  <c r="J112" i="2" s="1"/>
  <c r="D95" i="2"/>
  <c r="J95" i="2" s="1"/>
  <c r="D87" i="2"/>
  <c r="J87" i="2" s="1"/>
  <c r="D81" i="2"/>
  <c r="J81" i="2" s="1"/>
  <c r="D27" i="2"/>
  <c r="J27" i="2" s="1"/>
  <c r="D18" i="2"/>
  <c r="J18" i="2" s="1"/>
  <c r="P31" i="2"/>
  <c r="D136" i="2"/>
  <c r="J136" i="2" s="1"/>
  <c r="D56" i="2"/>
  <c r="J56" i="2" s="1"/>
  <c r="P30" i="2"/>
  <c r="D137" i="2"/>
  <c r="J137" i="2" s="1"/>
  <c r="D132" i="2"/>
  <c r="J132" i="2" s="1"/>
  <c r="D124" i="2"/>
  <c r="J124" i="2" s="1"/>
  <c r="D116" i="2"/>
  <c r="J116" i="2" s="1"/>
  <c r="D108" i="2"/>
  <c r="J108" i="2" s="1"/>
  <c r="D93" i="2"/>
  <c r="J93" i="2" s="1"/>
  <c r="D88" i="2"/>
  <c r="J88" i="2" s="1"/>
  <c r="D82" i="2"/>
  <c r="J82" i="2" s="1"/>
  <c r="D77" i="2"/>
  <c r="J77" i="2" s="1"/>
  <c r="D59" i="2"/>
  <c r="J59" i="2" s="1"/>
  <c r="D53" i="2"/>
  <c r="J53" i="2" s="1"/>
  <c r="D42" i="2"/>
  <c r="J42" i="2" s="1"/>
  <c r="D33" i="2"/>
  <c r="J33" i="2" s="1"/>
  <c r="D20" i="2"/>
  <c r="J20" i="2" s="1"/>
  <c r="D13" i="2"/>
  <c r="J13" i="2" s="1"/>
  <c r="P32" i="2"/>
  <c r="O32" i="2"/>
  <c r="N32" i="2"/>
  <c r="D120" i="2"/>
  <c r="J120" i="2" s="1"/>
  <c r="D104" i="2"/>
  <c r="J104" i="2" s="1"/>
  <c r="D84" i="2"/>
  <c r="J84" i="2" s="1"/>
  <c r="D67" i="2"/>
  <c r="J67" i="2" s="1"/>
  <c r="D38" i="2"/>
  <c r="J38" i="2" s="1"/>
  <c r="D23" i="2"/>
  <c r="J23" i="2" s="1"/>
  <c r="D141" i="2"/>
  <c r="J141" i="2" s="1"/>
  <c r="N31" i="2"/>
  <c r="D99" i="2"/>
  <c r="J99" i="2" s="1"/>
  <c r="D69" i="2"/>
  <c r="J69" i="2" s="1"/>
  <c r="D41" i="2"/>
  <c r="J41" i="2" s="1"/>
  <c r="D21" i="2"/>
  <c r="J21" i="2" s="1"/>
  <c r="D107" i="2"/>
  <c r="J107" i="2" s="1"/>
  <c r="D135" i="2"/>
  <c r="J135" i="2" s="1"/>
  <c r="D102" i="2"/>
  <c r="J102" i="2" s="1"/>
  <c r="D76" i="2"/>
  <c r="J76" i="2" s="1"/>
  <c r="D140" i="2"/>
  <c r="J140" i="2" s="1"/>
  <c r="D131" i="2"/>
  <c r="J131" i="2" s="1"/>
  <c r="D98" i="2"/>
  <c r="J98" i="2" s="1"/>
  <c r="D73" i="2"/>
  <c r="J73" i="2" s="1"/>
  <c r="D35" i="2"/>
  <c r="J35" i="2" s="1"/>
  <c r="D139" i="2"/>
  <c r="J139" i="2" s="1"/>
  <c r="D127" i="2"/>
  <c r="J127" i="2" s="1"/>
  <c r="D31" i="2"/>
  <c r="J31" i="2" s="1"/>
  <c r="D14" i="2"/>
  <c r="J14" i="2" s="1"/>
  <c r="P29" i="2"/>
  <c r="D119" i="2"/>
  <c r="J119" i="2" s="1"/>
  <c r="D115" i="2"/>
  <c r="J115" i="2" s="1"/>
  <c r="D111" i="2"/>
  <c r="J111" i="2" s="1"/>
  <c r="D83" i="2"/>
  <c r="J83" i="2" s="1"/>
  <c r="D58" i="2"/>
  <c r="J58" i="2" s="1"/>
  <c r="D40" i="2"/>
  <c r="J40" i="2" s="1"/>
  <c r="D148" i="2"/>
  <c r="J148" i="2" s="1"/>
  <c r="D79" i="2"/>
  <c r="J79" i="2" s="1"/>
  <c r="D144" i="2"/>
  <c r="J144" i="2" s="1"/>
  <c r="D123" i="2"/>
  <c r="J123" i="2" s="1"/>
  <c r="O30" i="2"/>
  <c r="O29" i="2"/>
  <c r="N30" i="2"/>
  <c r="N29" i="2"/>
  <c r="N64" i="2" l="1"/>
  <c r="N63" i="2"/>
  <c r="P64" i="2"/>
  <c r="N65" i="2"/>
  <c r="P63" i="2"/>
  <c r="O65" i="2"/>
  <c r="P65" i="2"/>
  <c r="O63" i="2"/>
  <c r="K144" i="2"/>
  <c r="F144" i="2"/>
  <c r="E144" i="2"/>
  <c r="H144" i="2"/>
  <c r="G144" i="2"/>
  <c r="I144" i="2"/>
  <c r="H119" i="2"/>
  <c r="G119" i="2"/>
  <c r="F119" i="2"/>
  <c r="E119" i="2"/>
  <c r="K119" i="2"/>
  <c r="I119" i="2"/>
  <c r="F98" i="2"/>
  <c r="E98" i="2"/>
  <c r="K98" i="2"/>
  <c r="H98" i="2"/>
  <c r="I98" i="2"/>
  <c r="G98" i="2"/>
  <c r="G41" i="2"/>
  <c r="E41" i="2"/>
  <c r="K41" i="2"/>
  <c r="H41" i="2"/>
  <c r="I41" i="2"/>
  <c r="F41" i="2"/>
  <c r="K84" i="2"/>
  <c r="H84" i="2"/>
  <c r="I84" i="2"/>
  <c r="F84" i="2"/>
  <c r="E84" i="2"/>
  <c r="G84" i="2"/>
  <c r="G33" i="2"/>
  <c r="F33" i="2"/>
  <c r="E33" i="2"/>
  <c r="K33" i="2"/>
  <c r="H33" i="2"/>
  <c r="I33" i="2"/>
  <c r="H108" i="2"/>
  <c r="K108" i="2"/>
  <c r="F108" i="2"/>
  <c r="E108" i="2"/>
  <c r="I108" i="2"/>
  <c r="G108" i="2"/>
  <c r="G30" i="2"/>
  <c r="K30" i="2"/>
  <c r="I30" i="2"/>
  <c r="H30" i="2"/>
  <c r="F30" i="2"/>
  <c r="E30" i="2"/>
  <c r="H100" i="2"/>
  <c r="F100" i="2"/>
  <c r="E100" i="2"/>
  <c r="K100" i="2"/>
  <c r="I100" i="2"/>
  <c r="G100" i="2"/>
  <c r="G50" i="2"/>
  <c r="H50" i="2"/>
  <c r="E50" i="2"/>
  <c r="F50" i="2"/>
  <c r="K50" i="2"/>
  <c r="I50" i="2"/>
  <c r="G44" i="2"/>
  <c r="F44" i="2"/>
  <c r="I44" i="2"/>
  <c r="K44" i="2"/>
  <c r="H44" i="2"/>
  <c r="E44" i="2"/>
  <c r="H92" i="2"/>
  <c r="K92" i="2"/>
  <c r="I92" i="2"/>
  <c r="E92" i="2"/>
  <c r="G92" i="2"/>
  <c r="F92" i="2"/>
  <c r="K74" i="2"/>
  <c r="I74" i="2"/>
  <c r="H74" i="2"/>
  <c r="F74" i="2"/>
  <c r="E74" i="2"/>
  <c r="G74" i="2"/>
  <c r="G55" i="2"/>
  <c r="H55" i="2"/>
  <c r="F55" i="2"/>
  <c r="E55" i="2"/>
  <c r="K55" i="2"/>
  <c r="I55" i="2"/>
  <c r="H106" i="2"/>
  <c r="G106" i="2"/>
  <c r="F106" i="2"/>
  <c r="E106" i="2"/>
  <c r="K106" i="2"/>
  <c r="I106" i="2"/>
  <c r="K79" i="2"/>
  <c r="E79" i="2"/>
  <c r="G79" i="2"/>
  <c r="H79" i="2"/>
  <c r="F79" i="2"/>
  <c r="I79" i="2"/>
  <c r="P62" i="2"/>
  <c r="P37" i="2"/>
  <c r="H131" i="2"/>
  <c r="K131" i="2"/>
  <c r="I131" i="2"/>
  <c r="E131" i="2"/>
  <c r="F131" i="2"/>
  <c r="G131" i="2"/>
  <c r="H69" i="2"/>
  <c r="K69" i="2"/>
  <c r="I69" i="2"/>
  <c r="G69" i="2"/>
  <c r="E69" i="2"/>
  <c r="F69" i="2"/>
  <c r="H104" i="2"/>
  <c r="G104" i="2"/>
  <c r="F104" i="2"/>
  <c r="E104" i="2"/>
  <c r="K104" i="2"/>
  <c r="I104" i="2"/>
  <c r="G42" i="2"/>
  <c r="F42" i="2"/>
  <c r="H42" i="2"/>
  <c r="E42" i="2"/>
  <c r="K42" i="2"/>
  <c r="I42" i="2"/>
  <c r="H116" i="2"/>
  <c r="I116" i="2"/>
  <c r="G116" i="2"/>
  <c r="F116" i="2"/>
  <c r="K116" i="2"/>
  <c r="E116" i="2"/>
  <c r="G18" i="2"/>
  <c r="E18" i="2"/>
  <c r="F18" i="2"/>
  <c r="H18" i="2"/>
  <c r="I18" i="2"/>
  <c r="K18" i="2"/>
  <c r="O64" i="2"/>
  <c r="G34" i="2"/>
  <c r="H34" i="2"/>
  <c r="F34" i="2"/>
  <c r="E34" i="2"/>
  <c r="K34" i="2"/>
  <c r="I34" i="2"/>
  <c r="H105" i="2"/>
  <c r="G105" i="2"/>
  <c r="F105" i="2"/>
  <c r="E105" i="2"/>
  <c r="I105" i="2"/>
  <c r="K105" i="2"/>
  <c r="G10" i="2"/>
  <c r="E10" i="2"/>
  <c r="K10" i="2"/>
  <c r="H10" i="2"/>
  <c r="F10" i="2"/>
  <c r="I10" i="2"/>
  <c r="E80" i="2"/>
  <c r="H80" i="2"/>
  <c r="I80" i="2"/>
  <c r="G80" i="2"/>
  <c r="K80" i="2"/>
  <c r="F80" i="2"/>
  <c r="G48" i="2"/>
  <c r="I48" i="2"/>
  <c r="K48" i="2"/>
  <c r="F48" i="2"/>
  <c r="E48" i="2"/>
  <c r="H48" i="2"/>
  <c r="I109" i="2"/>
  <c r="G109" i="2"/>
  <c r="F109" i="2"/>
  <c r="K109" i="2"/>
  <c r="E109" i="2"/>
  <c r="H109" i="2"/>
  <c r="K145" i="2"/>
  <c r="E145" i="2"/>
  <c r="G145" i="2"/>
  <c r="F145" i="2"/>
  <c r="H145" i="2"/>
  <c r="I145" i="2"/>
  <c r="G16" i="2"/>
  <c r="K16" i="2"/>
  <c r="F16" i="2"/>
  <c r="E16" i="2"/>
  <c r="I16" i="2"/>
  <c r="H16" i="2"/>
  <c r="G61" i="2"/>
  <c r="I61" i="2"/>
  <c r="K61" i="2"/>
  <c r="H61" i="2"/>
  <c r="F61" i="2"/>
  <c r="E61" i="2"/>
  <c r="H110" i="2"/>
  <c r="G110" i="2"/>
  <c r="K110" i="2"/>
  <c r="I110" i="2"/>
  <c r="F110" i="2"/>
  <c r="E110" i="2"/>
  <c r="G45" i="2"/>
  <c r="I45" i="2"/>
  <c r="K45" i="2"/>
  <c r="E45" i="2"/>
  <c r="H45" i="2"/>
  <c r="F45" i="2"/>
  <c r="G52" i="2"/>
  <c r="H52" i="2"/>
  <c r="F52" i="2"/>
  <c r="K52" i="2"/>
  <c r="I52" i="2"/>
  <c r="E52" i="2"/>
  <c r="G51" i="2"/>
  <c r="E51" i="2"/>
  <c r="K51" i="2"/>
  <c r="I51" i="2"/>
  <c r="H51" i="2"/>
  <c r="F51" i="2"/>
  <c r="E117" i="2"/>
  <c r="H117" i="2"/>
  <c r="I117" i="2"/>
  <c r="G117" i="2"/>
  <c r="K117" i="2"/>
  <c r="F117" i="2"/>
  <c r="G26" i="2"/>
  <c r="F26" i="2"/>
  <c r="E26" i="2"/>
  <c r="H26" i="2"/>
  <c r="I26" i="2"/>
  <c r="K26" i="2"/>
  <c r="K64" i="2"/>
  <c r="F64" i="2"/>
  <c r="E64" i="2"/>
  <c r="G64" i="2"/>
  <c r="I64" i="2"/>
  <c r="H64" i="2"/>
  <c r="H114" i="2"/>
  <c r="K114" i="2"/>
  <c r="F114" i="2"/>
  <c r="E114" i="2"/>
  <c r="G114" i="2"/>
  <c r="I114" i="2"/>
  <c r="K140" i="2"/>
  <c r="I140" i="2"/>
  <c r="E140" i="2"/>
  <c r="F140" i="2"/>
  <c r="G140" i="2"/>
  <c r="H140" i="2"/>
  <c r="H120" i="2"/>
  <c r="K120" i="2"/>
  <c r="F120" i="2"/>
  <c r="E120" i="2"/>
  <c r="I120" i="2"/>
  <c r="G120" i="2"/>
  <c r="K143" i="2"/>
  <c r="F143" i="2"/>
  <c r="H143" i="2"/>
  <c r="I143" i="2"/>
  <c r="G143" i="2"/>
  <c r="E143" i="2"/>
  <c r="N62" i="2"/>
  <c r="N37" i="2"/>
  <c r="G40" i="2"/>
  <c r="F40" i="2"/>
  <c r="I40" i="2"/>
  <c r="H40" i="2"/>
  <c r="E40" i="2"/>
  <c r="K40" i="2"/>
  <c r="G31" i="2"/>
  <c r="K31" i="2"/>
  <c r="I31" i="2"/>
  <c r="H31" i="2"/>
  <c r="F31" i="2"/>
  <c r="E31" i="2"/>
  <c r="K76" i="2"/>
  <c r="H76" i="2"/>
  <c r="G76" i="2"/>
  <c r="F76" i="2"/>
  <c r="I76" i="2"/>
  <c r="E76" i="2"/>
  <c r="I59" i="2"/>
  <c r="H59" i="2"/>
  <c r="F59" i="2"/>
  <c r="E59" i="2"/>
  <c r="G59" i="2"/>
  <c r="K59" i="2"/>
  <c r="H132" i="2"/>
  <c r="K132" i="2"/>
  <c r="I132" i="2"/>
  <c r="E132" i="2"/>
  <c r="F132" i="2"/>
  <c r="G132" i="2"/>
  <c r="H81" i="2"/>
  <c r="K81" i="2"/>
  <c r="G81" i="2"/>
  <c r="F81" i="2"/>
  <c r="E81" i="2"/>
  <c r="I81" i="2"/>
  <c r="K142" i="2"/>
  <c r="H142" i="2"/>
  <c r="G142" i="2"/>
  <c r="F142" i="2"/>
  <c r="I142" i="2"/>
  <c r="E142" i="2"/>
  <c r="G47" i="2"/>
  <c r="K47" i="2"/>
  <c r="H47" i="2"/>
  <c r="F47" i="2"/>
  <c r="I47" i="2"/>
  <c r="E47" i="2"/>
  <c r="H121" i="2"/>
  <c r="F121" i="2"/>
  <c r="E121" i="2"/>
  <c r="K121" i="2"/>
  <c r="I121" i="2"/>
  <c r="G121" i="2"/>
  <c r="G63" i="2"/>
  <c r="I63" i="2"/>
  <c r="K63" i="2"/>
  <c r="F63" i="2"/>
  <c r="E63" i="2"/>
  <c r="H63" i="2"/>
  <c r="K149" i="2"/>
  <c r="H149" i="2"/>
  <c r="G149" i="2"/>
  <c r="F149" i="2"/>
  <c r="I149" i="2"/>
  <c r="E149" i="2"/>
  <c r="K147" i="2"/>
  <c r="I147" i="2"/>
  <c r="E147" i="2"/>
  <c r="G147" i="2"/>
  <c r="H147" i="2"/>
  <c r="F147" i="2"/>
  <c r="K57" i="2"/>
  <c r="H57" i="2"/>
  <c r="I57" i="2"/>
  <c r="E57" i="2"/>
  <c r="G57" i="2"/>
  <c r="F57" i="2"/>
  <c r="K125" i="2"/>
  <c r="I125" i="2"/>
  <c r="E125" i="2"/>
  <c r="G125" i="2"/>
  <c r="H125" i="2"/>
  <c r="F125" i="2"/>
  <c r="G12" i="2"/>
  <c r="H12" i="2"/>
  <c r="F12" i="2"/>
  <c r="K12" i="2"/>
  <c r="I12" i="2"/>
  <c r="E12" i="2"/>
  <c r="G29" i="2"/>
  <c r="I29" i="2"/>
  <c r="K29" i="2"/>
  <c r="H29" i="2"/>
  <c r="E29" i="2"/>
  <c r="F29" i="2"/>
  <c r="I72" i="2"/>
  <c r="K72" i="2"/>
  <c r="F72" i="2"/>
  <c r="E72" i="2"/>
  <c r="H72" i="2"/>
  <c r="G72" i="2"/>
  <c r="K118" i="2"/>
  <c r="I118" i="2"/>
  <c r="E118" i="2"/>
  <c r="G118" i="2"/>
  <c r="F118" i="2"/>
  <c r="H118" i="2"/>
  <c r="G58" i="2"/>
  <c r="K58" i="2"/>
  <c r="F58" i="2"/>
  <c r="E58" i="2"/>
  <c r="I58" i="2"/>
  <c r="H58" i="2"/>
  <c r="H127" i="2"/>
  <c r="E127" i="2"/>
  <c r="I127" i="2"/>
  <c r="G127" i="2"/>
  <c r="F127" i="2"/>
  <c r="K127" i="2"/>
  <c r="G102" i="2"/>
  <c r="F102" i="2"/>
  <c r="E102" i="2"/>
  <c r="H102" i="2"/>
  <c r="K102" i="2"/>
  <c r="I102" i="2"/>
  <c r="K141" i="2"/>
  <c r="E141" i="2"/>
  <c r="H141" i="2"/>
  <c r="F141" i="2"/>
  <c r="I141" i="2"/>
  <c r="G141" i="2"/>
  <c r="H77" i="2"/>
  <c r="K77" i="2"/>
  <c r="I77" i="2"/>
  <c r="G77" i="2"/>
  <c r="F77" i="2"/>
  <c r="E77" i="2"/>
  <c r="H137" i="2"/>
  <c r="K137" i="2"/>
  <c r="I137" i="2"/>
  <c r="G137" i="2"/>
  <c r="F137" i="2"/>
  <c r="E137" i="2"/>
  <c r="I87" i="2"/>
  <c r="G87" i="2"/>
  <c r="F87" i="2"/>
  <c r="E87" i="2"/>
  <c r="H87" i="2"/>
  <c r="K87" i="2"/>
  <c r="K146" i="2"/>
  <c r="I146" i="2"/>
  <c r="E146" i="2"/>
  <c r="G146" i="2"/>
  <c r="H146" i="2"/>
  <c r="F146" i="2"/>
  <c r="G62" i="2"/>
  <c r="H62" i="2"/>
  <c r="I62" i="2"/>
  <c r="F62" i="2"/>
  <c r="E62" i="2"/>
  <c r="K62" i="2"/>
  <c r="H129" i="2"/>
  <c r="K129" i="2"/>
  <c r="F129" i="2"/>
  <c r="E129" i="2"/>
  <c r="I129" i="2"/>
  <c r="G129" i="2"/>
  <c r="F70" i="2"/>
  <c r="E70" i="2"/>
  <c r="H70" i="2"/>
  <c r="G70" i="2"/>
  <c r="I70" i="2"/>
  <c r="K70" i="2"/>
  <c r="G32" i="2"/>
  <c r="I32" i="2"/>
  <c r="E32" i="2"/>
  <c r="F32" i="2"/>
  <c r="H32" i="2"/>
  <c r="K32" i="2"/>
  <c r="G11" i="2"/>
  <c r="E11" i="2"/>
  <c r="H11" i="2"/>
  <c r="I11" i="2"/>
  <c r="K11" i="2"/>
  <c r="F11" i="2"/>
  <c r="K60" i="2"/>
  <c r="H60" i="2"/>
  <c r="I60" i="2"/>
  <c r="F60" i="2"/>
  <c r="E60" i="2"/>
  <c r="G60" i="2"/>
  <c r="I133" i="2"/>
  <c r="G133" i="2"/>
  <c r="F133" i="2"/>
  <c r="H133" i="2"/>
  <c r="K133" i="2"/>
  <c r="E133" i="2"/>
  <c r="G24" i="2"/>
  <c r="E24" i="2"/>
  <c r="I24" i="2"/>
  <c r="H24" i="2"/>
  <c r="K24" i="2"/>
  <c r="F24" i="2"/>
  <c r="G36" i="2"/>
  <c r="H36" i="2"/>
  <c r="K36" i="2"/>
  <c r="I36" i="2"/>
  <c r="F36" i="2"/>
  <c r="E36" i="2"/>
  <c r="H78" i="2"/>
  <c r="G78" i="2"/>
  <c r="F78" i="2"/>
  <c r="I78" i="2"/>
  <c r="K78" i="2"/>
  <c r="E78" i="2"/>
  <c r="K122" i="2"/>
  <c r="I122" i="2"/>
  <c r="G122" i="2"/>
  <c r="H122" i="2"/>
  <c r="E122" i="2"/>
  <c r="F122" i="2"/>
  <c r="G14" i="2"/>
  <c r="I14" i="2"/>
  <c r="K14" i="2"/>
  <c r="F14" i="2"/>
  <c r="E14" i="2"/>
  <c r="H14" i="2"/>
  <c r="G53" i="2"/>
  <c r="K53" i="2"/>
  <c r="F53" i="2"/>
  <c r="H53" i="2"/>
  <c r="E53" i="2"/>
  <c r="I53" i="2"/>
  <c r="G27" i="2"/>
  <c r="I27" i="2"/>
  <c r="H27" i="2"/>
  <c r="F27" i="2"/>
  <c r="E27" i="2"/>
  <c r="K27" i="2"/>
  <c r="K103" i="2"/>
  <c r="H103" i="2"/>
  <c r="I103" i="2"/>
  <c r="E103" i="2"/>
  <c r="G103" i="2"/>
  <c r="F103" i="2"/>
  <c r="O62" i="2"/>
  <c r="O37" i="2"/>
  <c r="K83" i="2"/>
  <c r="F83" i="2"/>
  <c r="E83" i="2"/>
  <c r="I83" i="2"/>
  <c r="H83" i="2"/>
  <c r="G83" i="2"/>
  <c r="K139" i="2"/>
  <c r="E139" i="2"/>
  <c r="I139" i="2"/>
  <c r="F139" i="2"/>
  <c r="H139" i="2"/>
  <c r="G139" i="2"/>
  <c r="I135" i="2"/>
  <c r="G135" i="2"/>
  <c r="H135" i="2"/>
  <c r="F135" i="2"/>
  <c r="K135" i="2"/>
  <c r="E135" i="2"/>
  <c r="G23" i="2"/>
  <c r="K23" i="2"/>
  <c r="H23" i="2"/>
  <c r="F23" i="2"/>
  <c r="E23" i="2"/>
  <c r="I23" i="2"/>
  <c r="K82" i="2"/>
  <c r="I82" i="2"/>
  <c r="H82" i="2"/>
  <c r="F82" i="2"/>
  <c r="E82" i="2"/>
  <c r="G82" i="2"/>
  <c r="K95" i="2"/>
  <c r="G95" i="2"/>
  <c r="F95" i="2"/>
  <c r="E95" i="2"/>
  <c r="H95" i="2"/>
  <c r="I95" i="2"/>
  <c r="K150" i="2"/>
  <c r="H150" i="2"/>
  <c r="G150" i="2"/>
  <c r="I150" i="2"/>
  <c r="E150" i="2"/>
  <c r="F150" i="2"/>
  <c r="I68" i="2"/>
  <c r="H68" i="2"/>
  <c r="G68" i="2"/>
  <c r="K68" i="2"/>
  <c r="F68" i="2"/>
  <c r="E68" i="2"/>
  <c r="G17" i="2"/>
  <c r="H17" i="2"/>
  <c r="I17" i="2"/>
  <c r="E17" i="2"/>
  <c r="K17" i="2"/>
  <c r="F17" i="2"/>
  <c r="H85" i="2"/>
  <c r="I85" i="2"/>
  <c r="K85" i="2"/>
  <c r="G85" i="2"/>
  <c r="F85" i="2"/>
  <c r="E85" i="2"/>
  <c r="G22" i="2"/>
  <c r="I22" i="2"/>
  <c r="K22" i="2"/>
  <c r="E22" i="2"/>
  <c r="H22" i="2"/>
  <c r="F22" i="2"/>
  <c r="G66" i="2"/>
  <c r="K66" i="2"/>
  <c r="I66" i="2"/>
  <c r="F66" i="2"/>
  <c r="E66" i="2"/>
  <c r="H66" i="2"/>
  <c r="K138" i="2"/>
  <c r="F138" i="2"/>
  <c r="H138" i="2"/>
  <c r="E138" i="2"/>
  <c r="I138" i="2"/>
  <c r="G138" i="2"/>
  <c r="K54" i="2"/>
  <c r="G54" i="2"/>
  <c r="F54" i="2"/>
  <c r="E54" i="2"/>
  <c r="I54" i="2"/>
  <c r="H54" i="2"/>
  <c r="G43" i="2"/>
  <c r="K43" i="2"/>
  <c r="F43" i="2"/>
  <c r="I43" i="2"/>
  <c r="H43" i="2"/>
  <c r="E43" i="2"/>
  <c r="I90" i="2"/>
  <c r="K90" i="2"/>
  <c r="H90" i="2"/>
  <c r="G90" i="2"/>
  <c r="F90" i="2"/>
  <c r="E90" i="2"/>
  <c r="I126" i="2"/>
  <c r="G126" i="2"/>
  <c r="F126" i="2"/>
  <c r="H126" i="2"/>
  <c r="K126" i="2"/>
  <c r="E126" i="2"/>
  <c r="K148" i="2"/>
  <c r="E148" i="2"/>
  <c r="I148" i="2"/>
  <c r="F148" i="2"/>
  <c r="H148" i="2"/>
  <c r="G148" i="2"/>
  <c r="H99" i="2"/>
  <c r="F99" i="2"/>
  <c r="E99" i="2"/>
  <c r="K99" i="2"/>
  <c r="I99" i="2"/>
  <c r="G99" i="2"/>
  <c r="H124" i="2"/>
  <c r="E124" i="2"/>
  <c r="I124" i="2"/>
  <c r="G124" i="2"/>
  <c r="K124" i="2"/>
  <c r="F124" i="2"/>
  <c r="H113" i="2"/>
  <c r="K113" i="2"/>
  <c r="I113" i="2"/>
  <c r="G113" i="2"/>
  <c r="F113" i="2"/>
  <c r="E113" i="2"/>
  <c r="H111" i="2"/>
  <c r="K111" i="2"/>
  <c r="I111" i="2"/>
  <c r="G111" i="2"/>
  <c r="F111" i="2"/>
  <c r="E111" i="2"/>
  <c r="G35" i="2"/>
  <c r="E35" i="2"/>
  <c r="K35" i="2"/>
  <c r="I35" i="2"/>
  <c r="F35" i="2"/>
  <c r="H35" i="2"/>
  <c r="H107" i="2"/>
  <c r="K107" i="2"/>
  <c r="F107" i="2"/>
  <c r="E107" i="2"/>
  <c r="I107" i="2"/>
  <c r="G107" i="2"/>
  <c r="G38" i="2"/>
  <c r="K38" i="2"/>
  <c r="I38" i="2"/>
  <c r="E38" i="2"/>
  <c r="F38" i="2"/>
  <c r="H38" i="2"/>
  <c r="G13" i="2"/>
  <c r="K13" i="2"/>
  <c r="I13" i="2"/>
  <c r="H13" i="2"/>
  <c r="E13" i="2"/>
  <c r="F13" i="2"/>
  <c r="F88" i="2"/>
  <c r="E88" i="2"/>
  <c r="H88" i="2"/>
  <c r="G88" i="2"/>
  <c r="K88" i="2"/>
  <c r="I88" i="2"/>
  <c r="K56" i="2"/>
  <c r="I56" i="2"/>
  <c r="H56" i="2"/>
  <c r="G56" i="2"/>
  <c r="F56" i="2"/>
  <c r="E56" i="2"/>
  <c r="H112" i="2"/>
  <c r="E112" i="2"/>
  <c r="I112" i="2"/>
  <c r="G112" i="2"/>
  <c r="F112" i="2"/>
  <c r="K112" i="2"/>
  <c r="G15" i="2"/>
  <c r="K15" i="2"/>
  <c r="F15" i="2"/>
  <c r="I15" i="2"/>
  <c r="E15" i="2"/>
  <c r="H15" i="2"/>
  <c r="K91" i="2"/>
  <c r="H91" i="2"/>
  <c r="F91" i="2"/>
  <c r="E91" i="2"/>
  <c r="I91" i="2"/>
  <c r="G91" i="2"/>
  <c r="E86" i="2"/>
  <c r="I86" i="2"/>
  <c r="K86" i="2"/>
  <c r="F86" i="2"/>
  <c r="H86" i="2"/>
  <c r="G86" i="2"/>
  <c r="I89" i="2"/>
  <c r="F89" i="2"/>
  <c r="H89" i="2"/>
  <c r="E89" i="2"/>
  <c r="G89" i="2"/>
  <c r="K89" i="2"/>
  <c r="G37" i="2"/>
  <c r="I37" i="2"/>
  <c r="K37" i="2"/>
  <c r="H37" i="2"/>
  <c r="F37" i="2"/>
  <c r="E37" i="2"/>
  <c r="G25" i="2"/>
  <c r="E25" i="2"/>
  <c r="F25" i="2"/>
  <c r="I25" i="2"/>
  <c r="K25" i="2"/>
  <c r="H25" i="2"/>
  <c r="H71" i="2"/>
  <c r="I71" i="2"/>
  <c r="K71" i="2"/>
  <c r="G71" i="2"/>
  <c r="F71" i="2"/>
  <c r="E71" i="2"/>
  <c r="G28" i="2"/>
  <c r="K28" i="2"/>
  <c r="I28" i="2"/>
  <c r="H28" i="2"/>
  <c r="F28" i="2"/>
  <c r="E28" i="2"/>
  <c r="G46" i="2"/>
  <c r="I46" i="2"/>
  <c r="K46" i="2"/>
  <c r="E46" i="2"/>
  <c r="F46" i="2"/>
  <c r="H46" i="2"/>
  <c r="I94" i="2"/>
  <c r="H94" i="2"/>
  <c r="F94" i="2"/>
  <c r="E94" i="2"/>
  <c r="G94" i="2"/>
  <c r="K94" i="2"/>
  <c r="E130" i="2"/>
  <c r="I130" i="2"/>
  <c r="H130" i="2"/>
  <c r="K130" i="2"/>
  <c r="G130" i="2"/>
  <c r="F130" i="2"/>
  <c r="H123" i="2"/>
  <c r="E123" i="2"/>
  <c r="I123" i="2"/>
  <c r="G123" i="2"/>
  <c r="K123" i="2"/>
  <c r="F123" i="2"/>
  <c r="H115" i="2"/>
  <c r="I115" i="2"/>
  <c r="G115" i="2"/>
  <c r="F115" i="2"/>
  <c r="K115" i="2"/>
  <c r="E115" i="2"/>
  <c r="H73" i="2"/>
  <c r="I73" i="2"/>
  <c r="G73" i="2"/>
  <c r="K73" i="2"/>
  <c r="F73" i="2"/>
  <c r="E73" i="2"/>
  <c r="G21" i="2"/>
  <c r="H21" i="2"/>
  <c r="K21" i="2"/>
  <c r="I21" i="2"/>
  <c r="F21" i="2"/>
  <c r="E21" i="2"/>
  <c r="I67" i="2"/>
  <c r="G67" i="2"/>
  <c r="F67" i="2"/>
  <c r="K67" i="2"/>
  <c r="H67" i="2"/>
  <c r="E67" i="2"/>
  <c r="G20" i="2"/>
  <c r="I20" i="2"/>
  <c r="H20" i="2"/>
  <c r="F20" i="2"/>
  <c r="K20" i="2"/>
  <c r="E20" i="2"/>
  <c r="H93" i="2"/>
  <c r="K93" i="2"/>
  <c r="I93" i="2"/>
  <c r="E93" i="2"/>
  <c r="G93" i="2"/>
  <c r="F93" i="2"/>
  <c r="H136" i="2"/>
  <c r="I136" i="2"/>
  <c r="G136" i="2"/>
  <c r="F136" i="2"/>
  <c r="K136" i="2"/>
  <c r="E136" i="2"/>
  <c r="H128" i="2"/>
  <c r="K128" i="2"/>
  <c r="I128" i="2"/>
  <c r="G128" i="2"/>
  <c r="F128" i="2"/>
  <c r="E128" i="2"/>
  <c r="G19" i="2"/>
  <c r="H19" i="2"/>
  <c r="E19" i="2"/>
  <c r="F19" i="2"/>
  <c r="K19" i="2"/>
  <c r="I19" i="2"/>
  <c r="H96" i="2"/>
  <c r="I96" i="2"/>
  <c r="G96" i="2"/>
  <c r="F96" i="2"/>
  <c r="E96" i="2"/>
  <c r="K96" i="2"/>
  <c r="H97" i="2"/>
  <c r="G97" i="2"/>
  <c r="F97" i="2"/>
  <c r="E97" i="2"/>
  <c r="K97" i="2"/>
  <c r="I97" i="2"/>
  <c r="G39" i="2"/>
  <c r="K39" i="2"/>
  <c r="E39" i="2"/>
  <c r="F39" i="2"/>
  <c r="H39" i="2"/>
  <c r="I39" i="2"/>
  <c r="K75" i="2"/>
  <c r="G75" i="2"/>
  <c r="E75" i="2"/>
  <c r="F75" i="2"/>
  <c r="H75" i="2"/>
  <c r="I75" i="2"/>
  <c r="G65" i="2"/>
  <c r="K65" i="2"/>
  <c r="H65" i="2"/>
  <c r="I65" i="2"/>
  <c r="F65" i="2"/>
  <c r="E65" i="2"/>
  <c r="G49" i="2"/>
  <c r="E49" i="2"/>
  <c r="K49" i="2"/>
  <c r="H49" i="2"/>
  <c r="I49" i="2"/>
  <c r="F49" i="2"/>
  <c r="H101" i="2"/>
  <c r="G101" i="2"/>
  <c r="F101" i="2"/>
  <c r="K101" i="2"/>
  <c r="I101" i="2"/>
  <c r="E101" i="2"/>
  <c r="G134" i="2"/>
  <c r="F134" i="2"/>
  <c r="E134" i="2"/>
  <c r="K134" i="2"/>
  <c r="I134" i="2"/>
  <c r="H134" i="2"/>
  <c r="N66" i="2" l="1"/>
  <c r="P66" i="2"/>
  <c r="O6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<sst xmlns="http://schemas.openxmlformats.org/spreadsheetml/2006/main" count="890" uniqueCount="436">
  <si>
    <t>1.</t>
  </si>
  <si>
    <r>
      <rPr>
        <b/>
        <sz val="18"/>
        <color theme="0"/>
        <rFont val="Aptos Narrow"/>
        <family val="2"/>
        <scheme val="minor"/>
      </rPr>
      <t>Fill in the municipality data</t>
    </r>
    <r>
      <rPr>
        <b/>
        <sz val="11"/>
        <color theme="0"/>
        <rFont val="Aptos Narrow"/>
        <family val="2"/>
        <scheme val="minor"/>
      </rPr>
      <t xml:space="preserve">
Name, population, and infrastructure</t>
    </r>
  </si>
  <si>
    <t>2.</t>
  </si>
  <si>
    <r>
      <rPr>
        <b/>
        <sz val="18"/>
        <color theme="0"/>
        <rFont val="Aptos Narrow"/>
        <family val="2"/>
        <scheme val="minor"/>
      </rPr>
      <t>(Optional) Adjust the preferences</t>
    </r>
    <r>
      <rPr>
        <u/>
        <sz val="11"/>
        <color theme="10"/>
        <rFont val="Aptos Narrow"/>
        <family val="2"/>
        <scheme val="minor"/>
      </rPr>
      <t xml:space="preserve">
</t>
    </r>
    <r>
      <rPr>
        <b/>
        <sz val="11"/>
        <color theme="0"/>
        <rFont val="Aptos Narrow"/>
        <family val="2"/>
        <scheme val="minor"/>
      </rPr>
      <t>Weight risk and cost according to your priorities</t>
    </r>
  </si>
  <si>
    <t>3.</t>
  </si>
  <si>
    <r>
      <rPr>
        <b/>
        <sz val="18"/>
        <color theme="0"/>
        <rFont val="Aptos Narrow"/>
        <family val="2"/>
        <scheme val="minor"/>
      </rPr>
      <t>Consult the recommended measures</t>
    </r>
    <r>
      <rPr>
        <b/>
        <sz val="11"/>
        <color theme="0"/>
        <rFont val="Aptos Narrow"/>
        <family val="2"/>
        <scheme val="minor"/>
      </rPr>
      <t xml:space="preserve">
List ordered from highest to lowest priority</t>
    </r>
  </si>
  <si>
    <t>4.</t>
  </si>
  <si>
    <t>Tool for the identification and selection of
measures at high temperatures</t>
  </si>
  <si>
    <t>Municipality profile</t>
  </si>
  <si>
    <t xml:space="preserve"> Complete only the green cells.</t>
  </si>
  <si>
    <t>Basic data</t>
  </si>
  <si>
    <t>Value</t>
  </si>
  <si>
    <t>Quick help</t>
  </si>
  <si>
    <t>Municipality name</t>
  </si>
  <si>
    <t>MURCIA</t>
  </si>
  <si>
    <t>• Select “Yes” if there is at least one facility in the municipality.
• If you are not sure, you may leave the cell blank.</t>
  </si>
  <si>
    <t>Country / Region</t>
  </si>
  <si>
    <t>Number of inhabitants</t>
  </si>
  <si>
    <t>Size category</t>
  </si>
  <si>
    <t>Infrastructure / Facilities</t>
  </si>
  <si>
    <t>Item</t>
  </si>
  <si>
    <t>Response (Yes/No)</t>
  </si>
  <si>
    <t>Health or social care centers</t>
  </si>
  <si>
    <t>No</t>
  </si>
  <si>
    <t>Public buildings</t>
  </si>
  <si>
    <t>Public swimming pools</t>
  </si>
  <si>
    <t>Beaches</t>
  </si>
  <si>
    <t>Rivers or lakes</t>
  </si>
  <si>
    <t>Public transport</t>
  </si>
  <si>
    <t>Schools / Educational centers</t>
  </si>
  <si>
    <t xml:space="preserve">                                         Tool for the identification and selection of
                                         measures at high temperatures</t>
  </si>
  <si>
    <t>Weighting of criteria (optional)</t>
  </si>
  <si>
    <t>Additional Adjustment per Measure (advanced)</t>
  </si>
  <si>
    <t>Complete this section only if you clearly wish to increase or decrease a specific measure</t>
  </si>
  <si>
    <t>Main Criteria</t>
  </si>
  <si>
    <t>Criterion</t>
  </si>
  <si>
    <t>Weight</t>
  </si>
  <si>
    <t>Multiplicador</t>
  </si>
  <si>
    <t>Peso sin normalizar</t>
  </si>
  <si>
    <t>Peso normalizado</t>
  </si>
  <si>
    <t>Peso (%)</t>
  </si>
  <si>
    <t>Environmental</t>
  </si>
  <si>
    <t>Social</t>
  </si>
  <si>
    <t>Economic</t>
  </si>
  <si>
    <t>Governance</t>
  </si>
  <si>
    <t>Ordered from highest to lowest priority based on risk, cost, and your preferences</t>
  </si>
  <si>
    <t>Rank</t>
  </si>
  <si>
    <t>Code</t>
  </si>
  <si>
    <t>Type</t>
  </si>
  <si>
    <t>Description</t>
  </si>
  <si>
    <t>Areas</t>
  </si>
  <si>
    <t>Cost</t>
  </si>
  <si>
    <t>Risk level</t>
  </si>
  <si>
    <t>Total score</t>
  </si>
  <si>
    <t>Distribution by type</t>
  </si>
  <si>
    <t>Prevention</t>
  </si>
  <si>
    <t>Communication and awareness raising</t>
  </si>
  <si>
    <t>Distribution by sector</t>
  </si>
  <si>
    <t>Buildings and public facilities</t>
  </si>
  <si>
    <t>Urban planning</t>
  </si>
  <si>
    <t>Culture and Sports</t>
  </si>
  <si>
    <t>Tourism</t>
  </si>
  <si>
    <t>Occupational risks</t>
  </si>
  <si>
    <t>Education</t>
  </si>
  <si>
    <t>Social Services</t>
  </si>
  <si>
    <t>Emergency Services and Police</t>
  </si>
  <si>
    <t>Parks and gardens (Urban Green Infrastructure)</t>
  </si>
  <si>
    <t>Transport</t>
  </si>
  <si>
    <t>Coordination</t>
  </si>
  <si>
    <t>Impact by criterion</t>
  </si>
  <si>
    <t xml:space="preserve"> Global</t>
  </si>
  <si>
    <t xml:space="preserve"> C1. Urban Cooling Potential</t>
  </si>
  <si>
    <t xml:space="preserve"> C2. Green/Blue Space Increase</t>
  </si>
  <si>
    <t xml:space="preserve"> C3. Vulnerable Groups Coverage</t>
  </si>
  <si>
    <t xml:space="preserve"> C4. Population Reached</t>
  </si>
  <si>
    <t xml:space="preserve"> C5. Implementation Cost</t>
  </si>
  <si>
    <t xml:space="preserve"> C6. Funding Availability</t>
  </si>
  <si>
    <t xml:space="preserve"> C7. Feasibility</t>
  </si>
  <si>
    <t xml:space="preserve"> C8. Time to Implement</t>
  </si>
  <si>
    <t xml:space="preserve">       Total</t>
  </si>
  <si>
    <t>Use the slicers to filter the measures according to the desired criteria</t>
  </si>
  <si>
    <t>COD</t>
  </si>
  <si>
    <t>TYPE OF MEASURE</t>
  </si>
  <si>
    <t>MAIN CRITERIA</t>
  </si>
  <si>
    <t>CRITERION</t>
  </si>
  <si>
    <t>DESCRIPTION</t>
  </si>
  <si>
    <t>€</t>
  </si>
  <si>
    <t>€€</t>
  </si>
  <si>
    <t>€€€</t>
  </si>
  <si>
    <t>Budget</t>
  </si>
  <si>
    <t>No risk (0)</t>
  </si>
  <si>
    <t>Low risk (1)</t>
  </si>
  <si>
    <t>High risk (3)</t>
  </si>
  <si>
    <t>R</t>
  </si>
  <si>
    <t>I</t>
  </si>
  <si>
    <t>S</t>
  </si>
  <si>
    <t>K</t>
  </si>
  <si>
    <t>Risk Level</t>
  </si>
  <si>
    <t>Nº Areas</t>
  </si>
  <si>
    <t>Buildings</t>
  </si>
  <si>
    <t>Urban</t>
  </si>
  <si>
    <t>Culture</t>
  </si>
  <si>
    <t xml:space="preserve">Tourism </t>
  </si>
  <si>
    <t>Occupational</t>
  </si>
  <si>
    <t xml:space="preserve">Education </t>
  </si>
  <si>
    <t>Emergency</t>
  </si>
  <si>
    <t>Parks</t>
  </si>
  <si>
    <t xml:space="preserve">Transport </t>
  </si>
  <si>
    <t xml:space="preserve">Coordination </t>
  </si>
  <si>
    <t>&lt;5.000</t>
  </si>
  <si>
    <t>5.001-20.000</t>
  </si>
  <si>
    <t>20.001-50.000</t>
  </si>
  <si>
    <t>50.001-100.000</t>
  </si>
  <si>
    <t>&gt;100.000</t>
  </si>
  <si>
    <t>Apply size</t>
  </si>
  <si>
    <t>Total infrastructure</t>
  </si>
  <si>
    <t>C1_Urban Cooling</t>
  </si>
  <si>
    <t>C2_Green Blue</t>
  </si>
  <si>
    <t>C3_Vulnerable</t>
  </si>
  <si>
    <t>C4_Population</t>
  </si>
  <si>
    <t>C5_Cost</t>
  </si>
  <si>
    <t>C6_Funding</t>
  </si>
  <si>
    <t>C7_Feasibility</t>
  </si>
  <si>
    <t>C8_Time</t>
  </si>
  <si>
    <t>Weight Criterion</t>
  </si>
  <si>
    <t>Med 1</t>
  </si>
  <si>
    <t>Population Reached</t>
  </si>
  <si>
    <t>Establishment of calendars of tourist activities and regulation of schedules appropriate to the season of the year, in order to avoid risks to the health of tourists</t>
  </si>
  <si>
    <t>Med 2</t>
  </si>
  <si>
    <t>Green/Blue Space Increase</t>
  </si>
  <si>
    <t>Installation of green facades in public buildings</t>
  </si>
  <si>
    <t>Med 3</t>
  </si>
  <si>
    <t>Urban Cooling Potential</t>
  </si>
  <si>
    <t>Installation of sun protection elements (sunshades and blinds) on facades of schools exposed to the sun, and of pergolas and canopies on exposed surfaces</t>
  </si>
  <si>
    <t>Med 4</t>
  </si>
  <si>
    <t>Vulnerable Groups Coverage</t>
  </si>
  <si>
    <t>Elaboration of a general procol of action in educational centers regarding heat waves</t>
  </si>
  <si>
    <t>Med 5</t>
  </si>
  <si>
    <t>Elaboration of a Plan of Shadows and Wooded Areas</t>
  </si>
  <si>
    <t>Med 6</t>
  </si>
  <si>
    <t>Application of bioclimatic criteria in the design of open spaces</t>
  </si>
  <si>
    <t>Med 7</t>
  </si>
  <si>
    <t>Med 8</t>
  </si>
  <si>
    <t>Installation of fresh rooftops or green roofs in public buildings</t>
  </si>
  <si>
    <t>Med 9</t>
  </si>
  <si>
    <t>Feasibility</t>
  </si>
  <si>
    <t>Bioclimatic evaluation of streets and squares to redefine the uses of the city according to its climatic comfort</t>
  </si>
  <si>
    <t>Med 10</t>
  </si>
  <si>
    <t>Creation of a green ring bordering the urban center to minimize the heat island effect</t>
  </si>
  <si>
    <t>Med 11</t>
  </si>
  <si>
    <t>Installation of awnings in playgrounds</t>
  </si>
  <si>
    <t>Med 12</t>
  </si>
  <si>
    <t>White repainting on roofs of nurseries, schools, libraries and public sports centers</t>
  </si>
  <si>
    <t>Med 13</t>
  </si>
  <si>
    <t>Identification of opportunities and resources of high touristic potential that promote deseasonalization and the development of new tourism promotion activities more adapted to episodes of high temperatures</t>
  </si>
  <si>
    <t>Med 14</t>
  </si>
  <si>
    <t>Med 15</t>
  </si>
  <si>
    <t>Climate risk analysis of tourism infrastructure and equipment regarding heat waves</t>
  </si>
  <si>
    <t>Med 16</t>
  </si>
  <si>
    <t>Establishment of reference data for the identification of priority areas for action during heat waves (plant cover analysis, open space cover, shade provided by buildings...)</t>
  </si>
  <si>
    <t>Med 17</t>
  </si>
  <si>
    <t>Urban tree plantation to increase tree cover in alignments of streets devoid of shade</t>
  </si>
  <si>
    <t>Med 18</t>
  </si>
  <si>
    <t>Planting urban trees in school itineraries to improve the climate comfort of children</t>
  </si>
  <si>
    <t>Med 19</t>
  </si>
  <si>
    <t>Transformation of abandoned plots into green areas in neighborhoods most vulnerable to heat waves</t>
  </si>
  <si>
    <t>Med 20</t>
  </si>
  <si>
    <t>Installation of textile structures with vegetation in parking areas or streets</t>
  </si>
  <si>
    <t>Med 21</t>
  </si>
  <si>
    <t>Med 22</t>
  </si>
  <si>
    <t>Implementation of cobblestones and draining pavement to reduce the heat absorbed by the pavement and surface temperature</t>
  </si>
  <si>
    <t>Med 23</t>
  </si>
  <si>
    <t>Creation of green rest areas in industrial spaces</t>
  </si>
  <si>
    <t>Med 24</t>
  </si>
  <si>
    <t>Renaturalization of schoolyards</t>
  </si>
  <si>
    <t>Med 25</t>
  </si>
  <si>
    <t>Installation of seasonal shading between building facades</t>
  </si>
  <si>
    <t>Med 26</t>
  </si>
  <si>
    <t>Installation of photovoltaic pergolas in open spaces, such as parkings or playgrounds</t>
  </si>
  <si>
    <t>Med 27</t>
  </si>
  <si>
    <t>Approval of ad hoc clause demanding the need to have an adjustment plan to extreme heat in tenders</t>
  </si>
  <si>
    <t>Med 28</t>
  </si>
  <si>
    <t>Recommendation to schools to have information on the pathologies of students that make them vulnerable to high temperatures.</t>
  </si>
  <si>
    <t>Med 29</t>
  </si>
  <si>
    <t>Identification and designation of people responsible for the activation of action protocols in schools regarding heat waves, as well as planning specific measures in case of activation.</t>
  </si>
  <si>
    <t>Med 30</t>
  </si>
  <si>
    <t>Installation of temperature sensors in different areas of the municipality</t>
  </si>
  <si>
    <t>Med 31</t>
  </si>
  <si>
    <t>Periodic checks on the functioning of air-conditioning equipment on public transport vehicles and transport interchanges</t>
  </si>
  <si>
    <t>Med 32</t>
  </si>
  <si>
    <t>Increase of canopies at bus stops</t>
  </si>
  <si>
    <t>Med 33</t>
  </si>
  <si>
    <t>First aid training for drivers and other personnel related to municipal public transport</t>
  </si>
  <si>
    <t>Med 34</t>
  </si>
  <si>
    <t>Funding Availability</t>
  </si>
  <si>
    <t xml:space="preserve">Increase in public founding for energetic rehabilitation of housing for the most vulnerable population </t>
  </si>
  <si>
    <t>Med 35</t>
  </si>
  <si>
    <t>Specific diagnosis of the climatic situation of people living in segregated or substandard housing settlements</t>
  </si>
  <si>
    <t>Med 36</t>
  </si>
  <si>
    <t>Mapping of the urban climate to better understand the factors that influence the city's climate behavior and locate vulnerable areas</t>
  </si>
  <si>
    <t>Med 37</t>
  </si>
  <si>
    <t>Identification of places to move activities that are normally organized abroad, nearby and accessible (libraries, museums, sports centers, etc.) to carry out alternative activities</t>
  </si>
  <si>
    <t>Med 38</t>
  </si>
  <si>
    <t>Characterization of public buildings and equipment: identification of heat accumulation points (direct sun at central times of the day, unprotected, top floors, etc.), and cooler points (shady areas, rooms with better ventilation, etc.)</t>
  </si>
  <si>
    <t>Med 39</t>
  </si>
  <si>
    <t>Provision of rest areas that also allow hydration in buildings and public equipment.</t>
  </si>
  <si>
    <t>Med 40</t>
  </si>
  <si>
    <t>Maintenance of the directory of reference persons and institutions for the implementation of action protocols</t>
  </si>
  <si>
    <t>Med 41</t>
  </si>
  <si>
    <t>Specific technical studies to analyse the bioclimatic reality and comfort of educational centers to determine their characteristics from their geographical location, orientation, degree of sun exposure, constructive typology, construction materials used, insulation quality, etc., to determine the need to perform actions in terms of thermal insulation (insulation of roofs, facades and windows), ventilation, installation of air conditioning systems or temperature temperament or shade areas in outdoor spaces</t>
  </si>
  <si>
    <t>Med 42</t>
  </si>
  <si>
    <t>Execution of measures for the adaptation of tourist infrastructure and equipment to events of extreme high temperatures (e.g. installation of shade structures, habilitation of interior spaces, installation of water points)</t>
  </si>
  <si>
    <t>Med 43</t>
  </si>
  <si>
    <t>Establishment of coordination systems with companies, associations and promoters of sport events</t>
  </si>
  <si>
    <t>Med 44</t>
  </si>
  <si>
    <t>Establishment of coordination systems with companies, associations and promoters of cultural events</t>
  </si>
  <si>
    <t>Med 45</t>
  </si>
  <si>
    <t>Carry out a work planning adapted to the condition of extreme temperatures to: planning non-light metabolic load tasks in days and hours of less heat; interrupting and postponing outdoor work; establish or modify work-rest cycles and job or task rotations</t>
  </si>
  <si>
    <t>Med 46</t>
  </si>
  <si>
    <t>Identification and promotion of tourism resources and products adapted to climatic conditions during heat waves</t>
  </si>
  <si>
    <t>Med 47</t>
  </si>
  <si>
    <t>Identification of climate shelters (forested areas, cool and air-conditioned indoor locations) where to protect yourself from high temperatures</t>
  </si>
  <si>
    <t>Med 48</t>
  </si>
  <si>
    <t>Update of the censuses of social groups most vulnerable to high extreme temperatures regarding to the activation of risk alerts</t>
  </si>
  <si>
    <t>Med 49</t>
  </si>
  <si>
    <t>Adequation of climate shelters in priority places (areas with greater heat island effect, areas of concentration of vulnerable population...)</t>
  </si>
  <si>
    <t>Med 50</t>
  </si>
  <si>
    <t>Update and maintenance of directories of public administration authorities involved in the Regional Implementation Plan</t>
  </si>
  <si>
    <t>Med 51</t>
  </si>
  <si>
    <t>Coordination with the health authorities of the countries which develop and implement their own plan</t>
  </si>
  <si>
    <t>Med 52</t>
  </si>
  <si>
    <t>Coordination with the countries for the implementation of information campaigns to different population groups</t>
  </si>
  <si>
    <t>Med 53</t>
  </si>
  <si>
    <t>Installation of air conditioners in municipal centres and facilities lacking refrigeration measures</t>
  </si>
  <si>
    <t>Med 54</t>
  </si>
  <si>
    <t>Perform construction activities to improve the insulation and energy efficiency of buildings and municipal facilities of older building age</t>
  </si>
  <si>
    <t>Med 55</t>
  </si>
  <si>
    <t>Renewal of vehicles in the municipal fleet lacking air conditioning</t>
  </si>
  <si>
    <t>Med 56</t>
  </si>
  <si>
    <t>Conditioning of river beaches or lagoons where swimming is allowed</t>
  </si>
  <si>
    <t>Med 57</t>
  </si>
  <si>
    <t>Enabling water games in public space</t>
  </si>
  <si>
    <t>Med 58</t>
  </si>
  <si>
    <t>Installation of fogging fountains, fogging devices and additional shade zones in summer, especially at points most vulnerable to heat waves.</t>
  </si>
  <si>
    <t>Med 59</t>
  </si>
  <si>
    <t>Time to Implement</t>
  </si>
  <si>
    <t>Approval of regulations for the flexibilization of working schedules of construction works developed or awarded by the consistory during heat waves and extreme heat situations</t>
  </si>
  <si>
    <t>Med 60</t>
  </si>
  <si>
    <t>Communication with managers of social health centers for the identification of high-risk people, definition of prevention and hydration guidelines, as well as protocols for monitoring the state of health and care.</t>
  </si>
  <si>
    <t>Med 61</t>
  </si>
  <si>
    <t>Installation of additional ventilation in public buildings and socio-health and educational centres to ensure climate comfort during heat waves</t>
  </si>
  <si>
    <t>Med 62</t>
  </si>
  <si>
    <t xml:space="preserve">Vaporative cooling, watering at night the pavements of plot-free spaces and moistening the surfaces exposed to direct solar radiation during heat waves </t>
  </si>
  <si>
    <t>Med 63</t>
  </si>
  <si>
    <t>Increase frequency of public transport for reduced waiting times during heat waves</t>
  </si>
  <si>
    <t>Med 64</t>
  </si>
  <si>
    <t>Activation of telework for public employees in case of extreme high temperatures in those positions that are possible</t>
  </si>
  <si>
    <t>Med 65</t>
  </si>
  <si>
    <t>Launch of a volunteer programme to monitor the state of the most vulnerable neighbours during heatwaves</t>
  </si>
  <si>
    <t>Med 66</t>
  </si>
  <si>
    <t>Temporary transfer of mobile air conditioners for the most vulnerable population groups through covenants and agreements</t>
  </si>
  <si>
    <t>Med 67</t>
  </si>
  <si>
    <t>Extension of schedules of public and private pools (gyms, neighborhood communities) through agreements with operators and responsible for their management</t>
  </si>
  <si>
    <t>Med 68</t>
  </si>
  <si>
    <t>Supply free "Packs against heat waves" for citizens</t>
  </si>
  <si>
    <t>Med 69</t>
  </si>
  <si>
    <t>Collaboration with rescue and lifeguard organizations to increase lifeguard patrols on beaches and pools</t>
  </si>
  <si>
    <t>Med 70</t>
  </si>
  <si>
    <t>Free telephone assistance to provide information on heat alerts (risk level, recommendations, available resources...) to interested citizens.</t>
  </si>
  <si>
    <t>Med 71</t>
  </si>
  <si>
    <t>Agreements with hoteliers and merchants to ensure free water supply in hot weather</t>
  </si>
  <si>
    <t>Med 72</t>
  </si>
  <si>
    <t>Prohibition of performing certain physical tasks at the workplace during  hours of the day when adverse weather events occur and the protection of the working person cannot be guaranteed otherwise.</t>
  </si>
  <si>
    <t>Med 73</t>
  </si>
  <si>
    <t xml:space="preserve">Minimization of the time spent outdoors by people responsible for outdoor work during temperature alert situations </t>
  </si>
  <si>
    <t>Med 74</t>
  </si>
  <si>
    <t xml:space="preserve">Distribution of workload in low-heat hours (early morning, late afternoon) for shift teams during extreme alerts </t>
  </si>
  <si>
    <t>Med 75</t>
  </si>
  <si>
    <t>Establishment of water supply points to ensure that it is within reach of workers</t>
  </si>
  <si>
    <t>Med 76</t>
  </si>
  <si>
    <t>Provision of systems to facilitate the application of personal refrigeration measures for workers (showers, wetting head or neck)</t>
  </si>
  <si>
    <t>Med 77</t>
  </si>
  <si>
    <t xml:space="preserve">Placement of portable personal refrigeration measures (fountains) in public spaces </t>
  </si>
  <si>
    <t>Med 78</t>
  </si>
  <si>
    <t>Med 79</t>
  </si>
  <si>
    <t>Review and monitoring of meteorological phenomena when it is planned to carry out some type of cultural activity or public event in outdoor spaces, with the aim of maximizing precautions, avoiding risks and activating protocols.</t>
  </si>
  <si>
    <t>Med 80</t>
  </si>
  <si>
    <t>Cancellation of outdoor events due to the activation of high risk levels due to extreme temperatures</t>
  </si>
  <si>
    <t>Med 81</t>
  </si>
  <si>
    <t xml:space="preserve">Communication and collaboration with schools for the flexibility of the students' schedule, in order to adapt to the circumstances of exceptional high temperatures </t>
  </si>
  <si>
    <t>Med 82</t>
  </si>
  <si>
    <t>Ventilation of public buildings at night so that the accumulated heat radiates into the atmosphere</t>
  </si>
  <si>
    <t>Med 83</t>
  </si>
  <si>
    <t>Verification actions on equipment and outdoor working conditions: municipal workers have the necessary sun protection equipment (head coverings, eye safety glasses and light-colored clothing)</t>
  </si>
  <si>
    <t>Med 84</t>
  </si>
  <si>
    <t xml:space="preserve">Designation of an observer of workers while working in a high-temperature environment and in direct sunlight to look for any symptoms or signs of health problems associated with high temperatures </t>
  </si>
  <si>
    <t>Med 85</t>
  </si>
  <si>
    <t>Development of a special heat protection device to assist the homeless, enabling additional accommodation places in the central hours of the day, staggered according to the level of risk</t>
  </si>
  <si>
    <t>Med 86</t>
  </si>
  <si>
    <t xml:space="preserve">Establishment of coordination systems and protocols between police, emergency and social services to develop actions aimed at preventing, detecting and caring for people in situations of homelessness in the face of extreme heat waves </t>
  </si>
  <si>
    <t>Med 87</t>
  </si>
  <si>
    <t>Avoid school activities in the hottest spaces, moving students to other spaces or facilities of the educational center that are more open, fresh and shaded</t>
  </si>
  <si>
    <t>Med 88</t>
  </si>
  <si>
    <t>Reorganization of activities within school hours according to weather circumstances, avoiding the tasks of greater physical activity in the hottest hours of the day and ensuring that they are carried out in shaded spaces</t>
  </si>
  <si>
    <t>Med 89</t>
  </si>
  <si>
    <t>Reorganization of extracurricular activities in schools, moving students to covered or shaded spaces</t>
  </si>
  <si>
    <t>Med 90</t>
  </si>
  <si>
    <t>Alternative scheduling of after-school activities or summer school activities during heat waves</t>
  </si>
  <si>
    <t>Med 91</t>
  </si>
  <si>
    <t>Flexibilization of the students' schedule to adapt to the circumstances of exceptional high temperatures, allowing early departure on days when the orange or red alert is activated, prior adequate communication to the families and authorization by legal representatives</t>
  </si>
  <si>
    <t>Med 92</t>
  </si>
  <si>
    <t>Review of complementary activities outside the educational center (visits, excursions, cultural, recreational or sports activities) for rescheduling, postponement or cancellation under the criterion of protection of all members of the educational community</t>
  </si>
  <si>
    <t>Med 93</t>
  </si>
  <si>
    <t>Review of first aid kits in public centers to verify the availability of suitable material in case of having to attend cases regarding exceptional high temperatures</t>
  </si>
  <si>
    <t>Med 94</t>
  </si>
  <si>
    <t>Relocation of activities with users in public facilities, on the ground floors and facing north and northeast of the buildings, avoiding spaces that concentrate heat: spaces under deck, spaces with difficulty of ventilation (single orientation, those that give to streets of intense traffic or to surfaces that radiate heat), spaces with large unprotected glazed surfaces.</t>
  </si>
  <si>
    <t>Med 95</t>
  </si>
  <si>
    <t>Avoid holding activities and events outdoors, especially if they involve exposure to the sun and at the central moments of the day.</t>
  </si>
  <si>
    <t>Med 96</t>
  </si>
  <si>
    <t>Improve ventilation of public buildings to reduce indoor temperature: ventilation in the coolest hours of the day, favoring the natural cross ventilation of the spaces, and favoring the entry of air from shady areas</t>
  </si>
  <si>
    <t>Med 97</t>
  </si>
  <si>
    <t>Use of protective elements (awnings, blinds, vinyl screens) in windows of public buildings at times of direct radiation</t>
  </si>
  <si>
    <t>Med 98</t>
  </si>
  <si>
    <t>Reducing the use of equipment and facilities that generate heat in public buildings and equipment (turn off computer equipment, projectors or interactive whiteboards in stand-by mode, reduce lighting in common spaces and keep off non-LED luminaires).</t>
  </si>
  <si>
    <t>Med 99</t>
  </si>
  <si>
    <t>Reinforcement in case of need of provision and organization of emergency services</t>
  </si>
  <si>
    <t>Med 100</t>
  </si>
  <si>
    <t>Municipal services network: identification of target population and contact through home help and telecare services and social centres</t>
  </si>
  <si>
    <t>Med 101</t>
  </si>
  <si>
    <t>Monitoring and adaptation of sporting events (celebration outside hotter hours, assessment of suspension or postponement in case of extreme temperatures, ensuring numbers and places of hydration or refreshment points, etc.)</t>
  </si>
  <si>
    <t>Med 102</t>
  </si>
  <si>
    <t>Monitoring and adaptation of cultural events (ensuring the availability of water in sufficient points of the enclosure, providing shade areas and refreshment points, warnings to attendees by public address and to the entrance on recommendations to prevent the effects of heat...)</t>
  </si>
  <si>
    <t>Med 103</t>
  </si>
  <si>
    <t>Street actions to raise awareness and distribute preventive material to homeless people</t>
  </si>
  <si>
    <t>Med 104</t>
  </si>
  <si>
    <t>Enabling, in outdoor work, shady areas for the development of tasks and spaces conditioned for the rest of the staff, for example, cabins with air conditioning</t>
  </si>
  <si>
    <t>Med 105</t>
  </si>
  <si>
    <t>Installation of temporary shading for outdoor worker parking areas with no alternative of covered parking</t>
  </si>
  <si>
    <t>Med 106</t>
  </si>
  <si>
    <t>Coordination and information with health services to support sports events on measures taken and alert to the appearance of symptoms of heat-associated pathology</t>
  </si>
  <si>
    <t>Med 107</t>
  </si>
  <si>
    <t>Coordination and information with health services to support cultural events on measures taken and alert against the appearance of symptoms of heat-associated pathology</t>
  </si>
  <si>
    <t>Med 108</t>
  </si>
  <si>
    <t>Assess the suspension, postponement or change of schedule of the activities organized for alert days that involve health risks in situations of high temperatures</t>
  </si>
  <si>
    <t>Med 109</t>
  </si>
  <si>
    <t>Offering climate shelters (coordination with other entities, review of facilities, advertising and communication)</t>
  </si>
  <si>
    <t>Med 110</t>
  </si>
  <si>
    <t>Monitor and adapt the comfort of municipal spaces frequented by population at risk (older people, people with disabilities, minors)</t>
  </si>
  <si>
    <t>Med 111</t>
  </si>
  <si>
    <t>Activate municipal services that can act in situations of alert for high temperatures (local police, social services, groups of volunteers, etc.).</t>
  </si>
  <si>
    <t>Med 112</t>
  </si>
  <si>
    <t>Immediate communication to the services indicated in the municipal action plan in emergency situations</t>
  </si>
  <si>
    <t>Med 113</t>
  </si>
  <si>
    <t>Intensification of coordination with the bodies responsible at regional level for regional plans to prevent the effects of extreme high temperatures</t>
  </si>
  <si>
    <t>Med 114</t>
  </si>
  <si>
    <t>Intensification of coordination with municipal services that can act in situations of alert for high temperatures (local police, social services, groups of volunteers, etc.).</t>
  </si>
  <si>
    <t>Med 115</t>
  </si>
  <si>
    <t>Strengthening communication with the services indicated in the municipal action plan in emergency situations</t>
  </si>
  <si>
    <t>Med 116</t>
  </si>
  <si>
    <t>Strengthening coordination with the bodies responsible at regional level for regional plans to prevent the effects of extreme high temperatures</t>
  </si>
  <si>
    <t>Med 117</t>
  </si>
  <si>
    <r>
      <t>Placement of information panels on the alert level of each day in a place visible to all users and workers of social</t>
    </r>
    <r>
      <rPr>
        <sz val="11"/>
        <rFont val="Aptos Narrow"/>
        <family val="2"/>
        <scheme val="minor"/>
      </rPr>
      <t>health centers</t>
    </r>
  </si>
  <si>
    <t>Med 118</t>
  </si>
  <si>
    <t>Implementation Cost</t>
  </si>
  <si>
    <t>Design and publication of guides on "cold routes" or "cold centers" through physical panels or online applications</t>
  </si>
  <si>
    <t>Med 119</t>
  </si>
  <si>
    <t>Training for families on how to avoid risks arising from extreme heat in childhood, providing information on protection against exceptional high temperatures (clothing, use of sun protection ...), or adequate breakfasts.</t>
  </si>
  <si>
    <t>Med 120</t>
  </si>
  <si>
    <t xml:space="preserve">Training teachers to identify the effects of the body in the event of heat stroke in educational centres </t>
  </si>
  <si>
    <t>Med 121</t>
  </si>
  <si>
    <t>Classification and "personification" of heat waves, giving them a name (as it is done with earthquakes and hurricanes) with the goal of sensitizing citizens so they take effective measures to protect themselves from extreme heat.</t>
  </si>
  <si>
    <t>Med 122</t>
  </si>
  <si>
    <t>Workshop on prevention of excess heat organized through associations, municipal day centers, social work units, municipal districts, AMPAs.</t>
  </si>
  <si>
    <t>Med 123</t>
  </si>
  <si>
    <t>Med 124</t>
  </si>
  <si>
    <t xml:space="preserve">Training of agents involved in the system of prevention of high extreme temperatures on the protocol of action </t>
  </si>
  <si>
    <t>Med 125</t>
  </si>
  <si>
    <t>Preparation and publication (online or on paper) of a map of the drinking fountain network</t>
  </si>
  <si>
    <t>Med 126</t>
  </si>
  <si>
    <t>Internal campaigns for residents and workers of social health centers on the importance of adequate hydration and monitoring the status of users most vulnerable to the effects of high temperatures</t>
  </si>
  <si>
    <t>Med 127</t>
  </si>
  <si>
    <t>Informative talks to companies to prevent occupational risks arising from heat with the aim that both companies and workers know the effects of heat on their body, as well as measures and recommendations to mitigate them</t>
  </si>
  <si>
    <t>Med 128</t>
  </si>
  <si>
    <t>Campaigns to strengthen the social network of elderly people living alone, through volunteering or telecare during the summer (e.g. contact at least once a day to assess their well-being)</t>
  </si>
  <si>
    <t>Med 129</t>
  </si>
  <si>
    <t xml:space="preserve">Dissemination of measures for natural cooling of buildings (simple ventilation, cross ventilation, night ventilation, evaporative cooling, reduction of the use of heat emitting equipment) </t>
  </si>
  <si>
    <t>Med 130</t>
  </si>
  <si>
    <t>Dissemination of information to the population about the existence of the Plan, groups of risk and meaning of the levels, through corporate channels and local media</t>
  </si>
  <si>
    <t>Med 131</t>
  </si>
  <si>
    <t>Development of basic information campaign for citizens and specific groups on the harmful effects of excess heat and self-protection measures to be taken (e.g. personal care, home measures)</t>
  </si>
  <si>
    <t>Med 132</t>
  </si>
  <si>
    <t>Distribution of information materials to those most vulnerable due to old age</t>
  </si>
  <si>
    <t>Med 133</t>
  </si>
  <si>
    <t>Information campaigns for municipal workers on warning and measures to prevent heat effects</t>
  </si>
  <si>
    <t>Med 134</t>
  </si>
  <si>
    <t>Campaign to promote solidarity and prevention in the family, neighborhood and community environment, especially for the care of sick and people in need.</t>
  </si>
  <si>
    <t>Med 135</t>
  </si>
  <si>
    <t>Campaign on fire prevention measures in urbanizations near forest areas during heat waves (e.g. avoiding barbecues, clearings...)</t>
  </si>
  <si>
    <t>Med 136</t>
  </si>
  <si>
    <t>Information campaign by municipal social services and NGOs for people who are particularly vulnerable due to their social situation</t>
  </si>
  <si>
    <t>Med 137</t>
  </si>
  <si>
    <t>Dissemination of recommendations for the organization, participants and attendees of sporting events</t>
  </si>
  <si>
    <t>Med 138</t>
  </si>
  <si>
    <t>Dissemination of recommendations on preventive measures for the organization and attendees of cultural events</t>
  </si>
  <si>
    <t>Med 139</t>
  </si>
  <si>
    <t>Distribution of information materials in tourist offices and tourist establishments</t>
  </si>
  <si>
    <t>Med 140</t>
  </si>
  <si>
    <t>Development and publication (online or on paper) of a map of the climate shelter network</t>
  </si>
  <si>
    <t>Med 141</t>
  </si>
  <si>
    <t>Dissemination of the subscription to the ‘Temperature and Risk Level Subscription Service’, through which they can receive an email and/or SMS with daily information on temperatures and the level of health risk in those provinces that are of interest to them</t>
  </si>
  <si>
    <t>EXAMPLES</t>
  </si>
  <si>
    <t xml:space="preserve"> Top 20</t>
  </si>
  <si>
    <t xml:space="preserve"> Bottom 20</t>
  </si>
  <si>
    <t xml:space="preserve">  Global    |   Top 20   |   Bottom 20</t>
  </si>
  <si>
    <t>Impact by main criteria</t>
  </si>
  <si>
    <t xml:space="preserve">Installation of side gardens, consisting of the removal of a row of tiles from the roadway, which  then replaced by plant species. Excess tiles can be used to fence the garden. </t>
  </si>
  <si>
    <t>Adequation of natural areas that, due to their characteristics, values and capacity, are suitable to serve as a climate shelter for tourists and inhabitants in the face of the increase in temperatures derived from climate change</t>
  </si>
  <si>
    <t>Installation of reflective flooring, to reduce the surface temperature of the soil and the environment</t>
  </si>
  <si>
    <t>Promotion of reciprocal surveillance between workers exposed during working days outside in times of extreme temperatures</t>
  </si>
  <si>
    <t>Training and information aimed at workers who carry out activities outside on the effects of high temperatures on health, the symptoms prior to heat stroke, as well as the specific preventive measures to be adopted</t>
  </si>
  <si>
    <r>
      <rPr>
        <b/>
        <sz val="12"/>
        <color theme="1"/>
        <rFont val="Aptos Narrow"/>
        <family val="2"/>
        <scheme val="minor"/>
      </rPr>
      <t>1. Urban Cooling Potential</t>
    </r>
    <r>
      <rPr>
        <sz val="11"/>
        <color theme="1"/>
        <rFont val="Aptos Narrow"/>
        <family val="2"/>
        <scheme val="minor"/>
      </rPr>
      <t xml:space="preserve">
</t>
    </r>
    <r>
      <rPr>
        <i/>
        <sz val="11"/>
        <color theme="1"/>
        <rFont val="Aptos Narrow"/>
        <family val="2"/>
        <scheme val="minor"/>
      </rPr>
      <t>By increasing the weight of this criterion, the focus is placed on reducing urban temperatures. This prioritizes actions that directly address heat reduction and improve the thermal comfort of urban areas.</t>
    </r>
  </si>
  <si>
    <r>
      <t xml:space="preserve">2. Green/Blue Space Increase
</t>
    </r>
    <r>
      <rPr>
        <i/>
        <sz val="11"/>
        <color theme="1"/>
        <rFont val="Aptos Narrow"/>
        <family val="2"/>
        <scheme val="minor"/>
      </rPr>
      <t>Giving more weight to this criterion emphasizes the creation or expansion of green and blue spaces, such as parks, trees, and water features.</t>
    </r>
  </si>
  <si>
    <r>
      <rPr>
        <b/>
        <sz val="12"/>
        <color theme="1"/>
        <rFont val="Aptos Narrow"/>
        <family val="2"/>
        <scheme val="minor"/>
      </rPr>
      <t>3. Vulnerable Groups Coverage</t>
    </r>
    <r>
      <rPr>
        <i/>
        <sz val="11"/>
        <color theme="1"/>
        <rFont val="Aptos Narrow"/>
        <family val="2"/>
        <scheme val="minor"/>
      </rPr>
      <t xml:space="preserve">
If this criterion is given a higher weight, the focus shifts to measures that provide direct benefits to vulnerable groups, such as the elderly, children, and low-income populations. </t>
    </r>
  </si>
  <si>
    <r>
      <rPr>
        <b/>
        <sz val="12"/>
        <color theme="1"/>
        <rFont val="Aptos Narrow"/>
        <family val="2"/>
        <scheme val="minor"/>
      </rPr>
      <t>4. Population Reached</t>
    </r>
    <r>
      <rPr>
        <sz val="11"/>
        <color theme="1"/>
        <rFont val="Aptos Narrow"/>
        <family val="2"/>
        <scheme val="minor"/>
      </rPr>
      <t xml:space="preserve">
</t>
    </r>
    <r>
      <rPr>
        <i/>
        <sz val="11"/>
        <color theme="1"/>
        <rFont val="Aptos Narrow"/>
        <family val="2"/>
        <scheme val="minor"/>
      </rPr>
      <t>Prioritizing this criterion increases the importance of actions that have a broader impact, benefiting a larger portion of the population. This emphasizes the need for measures that deliver widespread benefits.</t>
    </r>
  </si>
  <si>
    <r>
      <rPr>
        <b/>
        <sz val="12"/>
        <color theme="1"/>
        <rFont val="Aptos Narrow"/>
        <family val="2"/>
        <scheme val="minor"/>
      </rPr>
      <t>5. Implementation Cost</t>
    </r>
    <r>
      <rPr>
        <sz val="11"/>
        <color theme="1"/>
        <rFont val="Aptos Narrow"/>
        <family val="2"/>
        <scheme val="minor"/>
      </rPr>
      <t xml:space="preserve">
</t>
    </r>
    <r>
      <rPr>
        <i/>
        <sz val="11"/>
        <color theme="1"/>
        <rFont val="Aptos Narrow"/>
        <family val="2"/>
        <scheme val="minor"/>
      </rPr>
      <t xml:space="preserve">A higher weight on this criterion reflects a focus on minimizing costs and ensuring that measures are financially manageable. </t>
    </r>
  </si>
  <si>
    <r>
      <rPr>
        <b/>
        <sz val="12"/>
        <color theme="1"/>
        <rFont val="Aptos Narrow"/>
        <family val="2"/>
        <scheme val="minor"/>
      </rPr>
      <t>6. Funding Availability</t>
    </r>
    <r>
      <rPr>
        <sz val="11"/>
        <color theme="1"/>
        <rFont val="Aptos Narrow"/>
        <family val="2"/>
        <scheme val="minor"/>
      </rPr>
      <t xml:space="preserve">
</t>
    </r>
    <r>
      <rPr>
        <i/>
        <sz val="11"/>
        <color theme="1"/>
        <rFont val="Aptos Narrow"/>
        <family val="2"/>
        <scheme val="minor"/>
      </rPr>
      <t>This emphasizes the importance of measures that have high-probability access to funding sources, such as local, national, or EU funds.</t>
    </r>
  </si>
  <si>
    <r>
      <rPr>
        <b/>
        <sz val="12"/>
        <color theme="1"/>
        <rFont val="Aptos Narrow"/>
        <family val="2"/>
        <scheme val="minor"/>
      </rPr>
      <t>7. Feasibility</t>
    </r>
    <r>
      <rPr>
        <sz val="11"/>
        <color theme="1"/>
        <rFont val="Aptos Narrow"/>
        <family val="2"/>
        <scheme val="minor"/>
      </rPr>
      <t xml:space="preserve">
</t>
    </r>
    <r>
      <rPr>
        <i/>
        <sz val="11"/>
        <color theme="1"/>
        <rFont val="Aptos Narrow"/>
        <family val="2"/>
        <scheme val="minor"/>
      </rPr>
      <t xml:space="preserve">A higher weight on feasibility prioritizes measures that are easier to implement from a technical, legal, and administrative perspective. </t>
    </r>
  </si>
  <si>
    <r>
      <rPr>
        <b/>
        <sz val="12"/>
        <color theme="1"/>
        <rFont val="Aptos Narrow"/>
        <family val="2"/>
        <scheme val="minor"/>
      </rPr>
      <t>8. Time to Implement</t>
    </r>
    <r>
      <rPr>
        <sz val="11"/>
        <color theme="1"/>
        <rFont val="Aptos Narrow"/>
        <family val="2"/>
        <scheme val="minor"/>
      </rPr>
      <t xml:space="preserve">
</t>
    </r>
    <r>
      <rPr>
        <i/>
        <sz val="11"/>
        <color theme="1"/>
        <rFont val="Aptos Narrow"/>
        <family val="2"/>
        <scheme val="minor"/>
      </rPr>
      <t>This favors measures that can be deployed quickly and start delivering results in a shorter time frame, addressing urgent needs.</t>
    </r>
  </si>
  <si>
    <t>You can adjust the weight of each criterion by applying a multiplier from -3 (least priority) to +3 (highest priority). The tool will automatically normalize the weights for a balanced evaluation.</t>
  </si>
  <si>
    <t>Each measure has been evaluated by a team of experts based on 8 criteria. If all criteria are equally important for you, no changes are needed.</t>
  </si>
  <si>
    <r>
      <rPr>
        <b/>
        <sz val="12"/>
        <color theme="1"/>
        <rFont val="Aptos Narrow"/>
        <family val="2"/>
        <scheme val="minor"/>
      </rPr>
      <t xml:space="preserve">                                                                                                                            USER GUIDE</t>
    </r>
    <r>
      <rPr>
        <sz val="10.4"/>
        <color theme="1"/>
        <rFont val="Aptos Narrow"/>
        <family val="2"/>
        <scheme val="minor"/>
      </rPr>
      <t xml:space="preserve">
This tool helps local entities identify various preventive, communication, and ready to go measures to address high temperature episodes and select the most suitable options for their municipality. It contains a database of measures drawn from different examples, plans, and strategies. The measures are categorized based on several criteria to help users select those that are relevant to the characteristics of their municipality. The categories include:
          • </t>
    </r>
    <r>
      <rPr>
        <b/>
        <sz val="10.4"/>
        <color theme="1"/>
        <rFont val="Aptos Narrow"/>
        <family val="2"/>
        <scheme val="minor"/>
      </rPr>
      <t>Measurement Type</t>
    </r>
    <r>
      <rPr>
        <sz val="10.4"/>
        <color theme="1"/>
        <rFont val="Aptos Narrow"/>
        <family val="2"/>
        <scheme val="minor"/>
      </rPr>
      <t xml:space="preserve">: </t>
    </r>
    <r>
      <rPr>
        <i/>
        <sz val="10.4"/>
        <color theme="1"/>
        <rFont val="Aptos Narrow"/>
        <family val="2"/>
        <scheme val="minor"/>
      </rPr>
      <t>Prevention, Ready to go measures, Communication and Awareness Raising.</t>
    </r>
    <r>
      <rPr>
        <sz val="10.4"/>
        <color theme="1"/>
        <rFont val="Aptos Narrow"/>
        <family val="2"/>
        <scheme val="minor"/>
      </rPr>
      <t xml:space="preserve">
          • </t>
    </r>
    <r>
      <rPr>
        <b/>
        <sz val="10.4"/>
        <color theme="1"/>
        <rFont val="Aptos Narrow"/>
        <family val="2"/>
        <scheme val="minor"/>
      </rPr>
      <t>Budget Effort</t>
    </r>
    <r>
      <rPr>
        <sz val="10.4"/>
        <color theme="1"/>
        <rFont val="Aptos Narrow"/>
        <family val="2"/>
        <scheme val="minor"/>
      </rPr>
      <t>:</t>
    </r>
    <r>
      <rPr>
        <i/>
        <sz val="10.4"/>
        <color theme="1"/>
        <rFont val="Aptos Narrow"/>
        <family val="2"/>
        <scheme val="minor"/>
      </rPr>
      <t xml:space="preserve"> Low (€), Medium (€€), High (€€€).</t>
    </r>
    <r>
      <rPr>
        <sz val="10.4"/>
        <color theme="1"/>
        <rFont val="Aptos Narrow"/>
        <family val="2"/>
        <scheme val="minor"/>
      </rPr>
      <t xml:space="preserve">
          • </t>
    </r>
    <r>
      <rPr>
        <b/>
        <sz val="10.4"/>
        <color theme="1"/>
        <rFont val="Aptos Narrow"/>
        <family val="2"/>
        <scheme val="minor"/>
      </rPr>
      <t>Risk Level</t>
    </r>
    <r>
      <rPr>
        <sz val="10.4"/>
        <color theme="1"/>
        <rFont val="Aptos Narrow"/>
        <family val="2"/>
        <scheme val="minor"/>
      </rPr>
      <t xml:space="preserve">: </t>
    </r>
    <r>
      <rPr>
        <sz val="12"/>
        <color rgb="FF00B050"/>
        <rFont val="Aptos Narrow"/>
        <family val="2"/>
        <scheme val="minor"/>
      </rPr>
      <t>■</t>
    </r>
    <r>
      <rPr>
        <i/>
        <sz val="10.4"/>
        <color theme="1"/>
        <rFont val="Aptos Narrow"/>
        <family val="2"/>
        <scheme val="minor"/>
      </rPr>
      <t xml:space="preserve"> No Risk (0), </t>
    </r>
    <r>
      <rPr>
        <sz val="12"/>
        <color rgb="FFFFFF00"/>
        <rFont val="Aptos Narrow"/>
        <family val="2"/>
        <scheme val="minor"/>
      </rPr>
      <t>■</t>
    </r>
    <r>
      <rPr>
        <i/>
        <sz val="10.4"/>
        <color theme="1"/>
        <rFont val="Aptos Narrow"/>
        <family val="2"/>
        <scheme val="minor"/>
      </rPr>
      <t xml:space="preserve"> Low Risk (1), </t>
    </r>
    <r>
      <rPr>
        <sz val="12"/>
        <color rgb="FFFFC000"/>
        <rFont val="Aptos Narrow"/>
        <family val="2"/>
        <scheme val="minor"/>
      </rPr>
      <t>■</t>
    </r>
    <r>
      <rPr>
        <i/>
        <sz val="10.4"/>
        <color theme="1"/>
        <rFont val="Aptos Narrow"/>
        <family val="2"/>
        <scheme val="minor"/>
      </rPr>
      <t xml:space="preserve"> Medium Risk (2), </t>
    </r>
    <r>
      <rPr>
        <sz val="12"/>
        <color rgb="FFFF0000"/>
        <rFont val="Aptos Narrow"/>
        <family val="2"/>
        <scheme val="minor"/>
      </rPr>
      <t>■</t>
    </r>
    <r>
      <rPr>
        <i/>
        <sz val="10.4"/>
        <color theme="1"/>
        <rFont val="Aptos Narrow"/>
        <family val="2"/>
        <scheme val="minor"/>
      </rPr>
      <t xml:space="preserve"> High Risk (3).</t>
    </r>
    <r>
      <rPr>
        <sz val="10.4"/>
        <color theme="1"/>
        <rFont val="Aptos Narrow"/>
        <family val="2"/>
        <scheme val="minor"/>
      </rPr>
      <t xml:space="preserve">
          • </t>
    </r>
    <r>
      <rPr>
        <b/>
        <sz val="10.4"/>
        <color theme="1"/>
        <rFont val="Aptos Narrow"/>
        <family val="2"/>
        <scheme val="minor"/>
      </rPr>
      <t>Applicable Sectors</t>
    </r>
    <r>
      <rPr>
        <sz val="10.4"/>
        <color theme="1"/>
        <rFont val="Aptos Narrow"/>
        <family val="2"/>
        <scheme val="minor"/>
      </rPr>
      <t xml:space="preserve">: </t>
    </r>
    <r>
      <rPr>
        <i/>
        <sz val="10.4"/>
        <color theme="1"/>
        <rFont val="Aptos Narrow"/>
        <family val="2"/>
        <scheme val="minor"/>
      </rPr>
      <t>Public Buildings, Urban Planning, Occupational Risks, Education, Social Services, Emergency and Police Services,
             Parks and Green Spaces, Transport, Coordination.</t>
    </r>
    <r>
      <rPr>
        <sz val="10.4"/>
        <color theme="1"/>
        <rFont val="Aptos Narrow"/>
        <family val="2"/>
        <scheme val="minor"/>
      </rPr>
      <t xml:space="preserve">
Each measure is rated on a scale from 0 to 3 based on eight criteria that assess its potential to mitigate the effects of high temperatures. These criteria have been evaluated by a team of experts and are environmental criteria (urban cooling potential; green/blue space increase); social criteria (vulnerable groups coverage; population reached); economic criteria (implementation cost; funding availability); governance criteria (feasibility, time to implement).  The tool calculates a score for each measure based on a weighted sum of these eight criteria. By default, each criterion is given equal weight. Users can adjust the weight of specific criteria based on their preferences in Module 2. If no preferences are set, the tool will display measures ranked by priority based on equal weighting (Module 3).
</t>
    </r>
    <r>
      <rPr>
        <b/>
        <sz val="10.4"/>
        <color theme="1"/>
        <rFont val="Aptos Narrow"/>
        <family val="2"/>
        <scheme val="minor"/>
      </rPr>
      <t>Steps to Use the Tool:</t>
    </r>
    <r>
      <rPr>
        <sz val="10.4"/>
        <color theme="1"/>
        <rFont val="Aptos Narrow"/>
        <family val="2"/>
        <scheme val="minor"/>
      </rPr>
      <t xml:space="preserve">
         1.	</t>
    </r>
    <r>
      <rPr>
        <b/>
        <sz val="10.4"/>
        <color theme="1"/>
        <rFont val="Aptos Narrow"/>
        <family val="2"/>
        <scheme val="minor"/>
      </rPr>
      <t>Module 1 (Municipal Profile)</t>
    </r>
    <r>
      <rPr>
        <sz val="10.4"/>
        <color theme="1"/>
        <rFont val="Aptos Narrow"/>
        <family val="2"/>
        <scheme val="minor"/>
      </rPr>
      <t xml:space="preserve">: Enter the data for your municipality. This will determine which measures are relevant to your municipality's 
               characteristics.
         2.	</t>
    </r>
    <r>
      <rPr>
        <b/>
        <sz val="10.4"/>
        <color theme="1"/>
        <rFont val="Aptos Narrow"/>
        <family val="2"/>
        <scheme val="minor"/>
      </rPr>
      <t>Module 2 (Weights)</t>
    </r>
    <r>
      <rPr>
        <sz val="10.4"/>
        <color theme="1"/>
        <rFont val="Aptos Narrow"/>
        <family val="2"/>
        <scheme val="minor"/>
      </rPr>
      <t xml:space="preserve">: Use this module only if you want to adjust the importance of certain criteria. For example, you can give more weight to 
               environmental impact or social coverage.
         3.	</t>
    </r>
    <r>
      <rPr>
        <b/>
        <sz val="10.4"/>
        <color theme="1"/>
        <rFont val="Aptos Narrow"/>
        <family val="2"/>
        <scheme val="minor"/>
      </rPr>
      <t>Module 3 (Results)</t>
    </r>
    <r>
      <rPr>
        <sz val="10.4"/>
        <color theme="1"/>
        <rFont val="Aptos Narrow"/>
        <family val="2"/>
        <scheme val="minor"/>
      </rPr>
      <t xml:space="preserve">: View the measures relevant to your municipality, ranked by their score (the weighted sum of the evaluated criteria).
         4.	</t>
    </r>
    <r>
      <rPr>
        <b/>
        <sz val="10.4"/>
        <color theme="1"/>
        <rFont val="Aptos Narrow"/>
        <family val="2"/>
        <scheme val="minor"/>
      </rPr>
      <t>Module 4 (Catalogue)</t>
    </r>
    <r>
      <rPr>
        <sz val="10.4"/>
        <color theme="1"/>
        <rFont val="Aptos Narrow"/>
        <family val="2"/>
        <scheme val="minor"/>
      </rPr>
      <t>: This module works independently from the others and does not affect the selection process. It serves as a catalogue
               of all the measures in the database. Use the filters at the top to refine your search. For example, if you are a technician in the tourism 
               department, you can select “tourism” to show only measures applicable to tourism. You can also filter by budget category (€) to show
               low-cost options. To reset the filters, click the funnel symbol with a cross to deselect previous choices.</t>
    </r>
  </si>
  <si>
    <t>Ready to go measures</t>
  </si>
  <si>
    <t>Catalogue of measures and prevention action</t>
  </si>
  <si>
    <t>Medium risk (2)</t>
  </si>
  <si>
    <r>
      <rPr>
        <b/>
        <sz val="18"/>
        <color theme="0"/>
        <rFont val="Aptos Narrow"/>
        <family val="2"/>
        <scheme val="minor"/>
      </rPr>
      <t>Catalogue of measures an prevention action</t>
    </r>
    <r>
      <rPr>
        <b/>
        <sz val="11"/>
        <color theme="0"/>
        <rFont val="Aptos Narrow"/>
        <family val="2"/>
        <scheme val="minor"/>
      </rPr>
      <t xml:space="preserve">
Cost, budget, risk level and area of application</t>
    </r>
  </si>
  <si>
    <t xml:space="preserve">   Tool for the identification and selection of
   measures at high temperatures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</si>
</sst>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51" x14ac:knownFonts="1">
    <font>
      <sz val="11"/>
      <color theme="1"/>
      <name val="Aptos Narrow"/>
      <family val="2"/>
      <scheme val="minor"/>
    </font>
    <font>
      <b/>
      <sz val="11"/>
      <color theme="0"/>
      <name val="Aptos Narrow"/>
      <family val="2"/>
      <scheme val="minor"/>
    </font>
    <font>
      <b/>
      <sz val="18"/>
      <color theme="0"/>
      <name val="Aptos Narrow"/>
      <family val="2"/>
      <scheme val="minor"/>
    </font>
    <font>
      <b/>
      <sz val="36"/>
      <color theme="0"/>
      <name val="Aptos Narrow"/>
      <family val="2"/>
      <scheme val="minor"/>
    </font>
    <font>
      <b/>
      <sz val="11"/>
      <color theme="1"/>
      <name val="Aptos Narrow"/>
      <family val="2"/>
      <scheme val="minor"/>
    </font>
    <font>
      <sz val="11"/>
      <name val="Aptos Narrow"/>
      <family val="2"/>
      <scheme val="minor"/>
    </font>
    <font>
      <b/>
      <sz val="12"/>
      <color theme="1"/>
      <name val="Aptos Narrow"/>
      <family val="2"/>
      <scheme val="minor"/>
    </font>
    <font>
      <sz val="10"/>
      <name val="Arial"/>
      <family val="2"/>
    </font>
    <font>
      <sz val="12"/>
      <name val="Aptos Narrow"/>
      <family val="2"/>
      <scheme val="minor"/>
    </font>
    <font>
      <sz val="14"/>
      <color theme="1"/>
      <name val="Aptos Narrow"/>
      <family val="2"/>
      <scheme val="minor"/>
    </font>
    <font>
      <sz val="11"/>
      <color theme="0"/>
      <name val="Aptos Narrow"/>
      <family val="2"/>
      <scheme val="minor"/>
    </font>
    <font>
      <b/>
      <sz val="22"/>
      <color theme="0"/>
      <name val="Aptos Narrow"/>
      <family val="2"/>
      <scheme val="minor"/>
    </font>
    <font>
      <b/>
      <sz val="11"/>
      <color rgb="FF1F1F1F"/>
      <name val="Calibri"/>
      <family val="2"/>
    </font>
    <font>
      <b/>
      <sz val="12"/>
      <color rgb="FF1F1F1F"/>
      <name val="Calibri"/>
      <family val="2"/>
    </font>
    <font>
      <sz val="11"/>
      <color rgb="FF1F1F1F"/>
      <name val="Calibri"/>
      <family val="2"/>
    </font>
    <font>
      <sz val="11"/>
      <color theme="9" tint="0.79998168889431442"/>
      <name val="Aptos Narrow"/>
      <family val="2"/>
      <scheme val="minor"/>
    </font>
    <font>
      <sz val="18"/>
      <name val="Aptos Narrow"/>
      <family val="2"/>
      <scheme val="minor"/>
    </font>
    <font>
      <sz val="22"/>
      <name val="Franklin Gothic Medium Cond"/>
      <family val="2"/>
    </font>
    <font>
      <sz val="11"/>
      <name val="Calibri"/>
      <family val="2"/>
    </font>
    <font>
      <b/>
      <sz val="16"/>
      <color rgb="FF1F1F1F"/>
      <name val="Aptos Narrow"/>
      <family val="2"/>
      <scheme val="minor"/>
    </font>
    <font>
      <b/>
      <sz val="11"/>
      <color rgb="FFFFFFFF"/>
      <name val="Calibri"/>
      <family val="2"/>
    </font>
    <font>
      <sz val="11"/>
      <color theme="0"/>
      <name val="Arial"/>
      <family val="2"/>
    </font>
    <font>
      <sz val="10"/>
      <color rgb="FF1F1F1F"/>
      <name val="Calibri"/>
      <family val="2"/>
    </font>
    <font>
      <b/>
      <sz val="14"/>
      <color rgb="FF1F1F1F"/>
      <name val="Calibri"/>
      <family val="2"/>
    </font>
    <font>
      <sz val="14"/>
      <color rgb="FF1F1F1F"/>
      <name val="Calibri"/>
      <family val="2"/>
    </font>
    <font>
      <sz val="8"/>
      <name val="Aptos Narrow"/>
      <family val="2"/>
      <scheme val="minor"/>
    </font>
    <font>
      <b/>
      <sz val="16"/>
      <color theme="0"/>
      <name val="Calibri"/>
      <family val="2"/>
    </font>
    <font>
      <b/>
      <sz val="16"/>
      <name val="Calibri"/>
      <family val="2"/>
    </font>
    <font>
      <b/>
      <sz val="10"/>
      <color rgb="FFFFFFFF"/>
      <name val="Calibri"/>
      <family val="2"/>
    </font>
    <font>
      <i/>
      <sz val="11"/>
      <color theme="1"/>
      <name val="Aptos Narrow"/>
      <family val="2"/>
      <scheme val="minor"/>
    </font>
    <font>
      <b/>
      <sz val="14"/>
      <color theme="1"/>
      <name val="Calibri"/>
      <family val="2"/>
    </font>
    <font>
      <b/>
      <sz val="16"/>
      <color theme="0"/>
      <name val="Aptos Narrow"/>
      <family val="2"/>
      <scheme val="minor"/>
    </font>
    <font>
      <b/>
      <sz val="12"/>
      <color theme="0"/>
      <name val="Calibri"/>
      <family val="2"/>
    </font>
    <font>
      <sz val="11"/>
      <color theme="0"/>
      <name val="Calibri"/>
      <family val="2"/>
    </font>
    <font>
      <b/>
      <sz val="11"/>
      <color theme="0"/>
      <name val="Calibri"/>
      <family val="2"/>
    </font>
    <font>
      <sz val="26"/>
      <color rgb="FFFF0000"/>
      <name val="Aptos Narrow"/>
      <family val="2"/>
      <scheme val="minor"/>
    </font>
    <font>
      <sz val="26"/>
      <color rgb="FF00B050"/>
      <name val="Aptos Narrow"/>
      <family val="2"/>
      <scheme val="minor"/>
    </font>
    <font>
      <sz val="26"/>
      <color rgb="FFFFFF00"/>
      <name val="Aptos Narrow"/>
      <family val="2"/>
      <scheme val="minor"/>
    </font>
    <font>
      <sz val="26"/>
      <color rgb="FFFFC000"/>
      <name val="Aptos Narrow"/>
      <family val="2"/>
      <scheme val="minor"/>
    </font>
    <font>
      <sz val="11"/>
      <color theme="1"/>
      <name val="Arial"/>
      <family val="2"/>
    </font>
    <font>
      <sz val="11"/>
      <color theme="3" tint="0.89999084444715716"/>
      <name val="Aptos Narrow"/>
      <family val="2"/>
      <scheme val="minor"/>
    </font>
    <font>
      <sz val="12"/>
      <color rgb="FF1F1F1F"/>
      <name val="Calibri"/>
      <family val="2"/>
    </font>
    <font>
      <u/>
      <sz val="11"/>
      <color theme="10"/>
      <name val="Aptos Narrow"/>
      <family val="2"/>
      <scheme val="minor"/>
    </font>
    <font>
      <sz val="10"/>
      <color theme="1"/>
      <name val="Aptos Narrow"/>
      <family val="2"/>
      <scheme val="minor"/>
    </font>
    <font>
      <sz val="10.4"/>
      <color theme="1"/>
      <name val="Aptos Narrow"/>
      <family val="2"/>
      <scheme val="minor"/>
    </font>
    <font>
      <b/>
      <sz val="10.4"/>
      <color theme="1"/>
      <name val="Aptos Narrow"/>
      <family val="2"/>
      <scheme val="minor"/>
    </font>
    <font>
      <i/>
      <sz val="10.4"/>
      <color theme="1"/>
      <name val="Aptos Narrow"/>
      <family val="2"/>
      <scheme val="minor"/>
    </font>
    <font>
      <sz val="12"/>
      <color rgb="FFFFFF00"/>
      <name val="Aptos Narrow"/>
      <family val="2"/>
      <scheme val="minor"/>
    </font>
    <font>
      <sz val="12"/>
      <color rgb="FFFFC000"/>
      <name val="Aptos Narrow"/>
      <family val="2"/>
      <scheme val="minor"/>
    </font>
    <font>
      <sz val="12"/>
      <color rgb="FFFF0000"/>
      <name val="Aptos Narrow"/>
      <family val="2"/>
      <scheme val="minor"/>
    </font>
    <font>
      <sz val="12"/>
      <color rgb="FF00B050"/>
      <name val="Aptos Narrow"/>
      <family val="2"/>
      <scheme val="minor"/>
    </font>
  </fonts>
  <fills count="24">
    <fill>
      <patternFill patternType="none"/>
    </fill>
    <fill>
      <patternFill patternType="gray125"/>
    </fill>
    <fill>
      <patternFill patternType="solid">
        <fgColor theme="9" tint="0.79998168889431442"/>
        <bgColor indexed="64"/>
      </patternFill>
    </fill>
    <fill>
      <patternFill patternType="solid">
        <fgColor rgb="FFF2F2F2"/>
      </patternFill>
    </fill>
    <fill>
      <patternFill patternType="solid">
        <fgColor theme="0" tint="-4.9989318521683403E-2"/>
        <bgColor indexed="64"/>
      </patternFill>
    </fill>
    <fill>
      <patternFill patternType="solid">
        <fgColor rgb="FFFFFFFF"/>
      </patternFill>
    </fill>
    <fill>
      <patternFill patternType="solid">
        <fgColor theme="3" tint="0.89999084444715716"/>
        <bgColor indexed="64"/>
      </patternFill>
    </fill>
    <fill>
      <patternFill patternType="solid">
        <fgColor rgb="FF003366"/>
        <bgColor indexed="64"/>
      </patternFill>
    </fill>
    <fill>
      <patternFill patternType="solid">
        <fgColor rgb="FF009882"/>
        <bgColor indexed="64"/>
      </patternFill>
    </fill>
    <fill>
      <patternFill patternType="solid">
        <fgColor rgb="FF0E4194"/>
        <bgColor indexed="64"/>
      </patternFill>
    </fill>
    <fill>
      <patternFill patternType="solid">
        <fgColor rgb="FFCDFFF8"/>
        <bgColor indexed="64"/>
      </patternFill>
    </fill>
    <fill>
      <patternFill patternType="solid">
        <fgColor rgb="FF00483E"/>
        <bgColor indexed="64"/>
      </patternFill>
    </fill>
    <fill>
      <patternFill patternType="solid">
        <fgColor rgb="FF002142"/>
        <bgColor indexed="64"/>
      </patternFill>
    </fill>
    <fill>
      <patternFill patternType="solid">
        <fgColor rgb="FFEBFFFC"/>
        <bgColor indexed="64"/>
      </patternFill>
    </fill>
    <fill>
      <patternFill patternType="gray0625">
        <bgColor rgb="FFEBFFFC"/>
      </patternFill>
    </fill>
    <fill>
      <patternFill patternType="solid">
        <fgColor rgb="FF1F4E79"/>
      </patternFill>
    </fill>
    <fill>
      <patternFill patternType="solid">
        <fgColor rgb="FFFFBDBD"/>
        <bgColor indexed="64"/>
      </patternFill>
    </fill>
    <fill>
      <patternFill patternType="solid">
        <fgColor rgb="FFC00000"/>
        <bgColor indexed="64"/>
      </patternFill>
    </fill>
    <fill>
      <patternFill patternType="solid">
        <fgColor theme="0" tint="-0.14999847407452621"/>
        <bgColor indexed="65"/>
      </patternFill>
    </fill>
    <fill>
      <patternFill patternType="solid">
        <fgColor theme="8" tint="0.59999389629810485"/>
        <bgColor indexed="64"/>
      </patternFill>
    </fill>
    <fill>
      <patternFill patternType="solid">
        <fgColor theme="8" tint="-0.499984740745262"/>
        <bgColor indexed="64"/>
      </patternFill>
    </fill>
    <fill>
      <patternFill patternType="solid">
        <fgColor rgb="FFFFFF99"/>
        <bgColor indexed="64"/>
      </patternFill>
    </fill>
    <fill>
      <patternFill patternType="solid">
        <fgColor rgb="FFC09200"/>
        <bgColor indexed="64"/>
      </patternFill>
    </fill>
    <fill>
      <patternFill patternType="solid">
        <fgColor rgb="FFFF00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auto="1"/>
      </left>
      <right style="thin">
        <color auto="1"/>
      </right>
      <top/>
      <bottom/>
      <diagonal/>
    </border>
    <border>
      <left style="thin">
        <color rgb="FFA6A6A6"/>
      </left>
      <right style="thin">
        <color rgb="FFA6A6A6"/>
      </right>
      <top style="thin">
        <color rgb="FFA6A6A6"/>
      </top>
      <bottom style="thin">
        <color rgb="FFA6A6A6"/>
      </bottom>
      <diagonal/>
    </border>
    <border>
      <left style="thin">
        <color indexed="64"/>
      </left>
      <right/>
      <top/>
      <bottom style="thin">
        <color indexed="64"/>
      </bottom>
      <diagonal/>
    </border>
    <border>
      <left style="thin">
        <color rgb="FFA6A6A6"/>
      </left>
      <right/>
      <top style="thin">
        <color rgb="FFA6A6A6"/>
      </top>
      <bottom/>
      <diagonal/>
    </border>
    <border>
      <left/>
      <right style="thin">
        <color rgb="FFA6A6A6"/>
      </right>
      <top style="thin">
        <color rgb="FFA6A6A6"/>
      </top>
      <bottom/>
      <diagonal/>
    </border>
    <border>
      <left style="thin">
        <color rgb="FFA6A6A6"/>
      </left>
      <right/>
      <top/>
      <bottom/>
      <diagonal/>
    </border>
    <border>
      <left/>
      <right style="thin">
        <color rgb="FFA6A6A6"/>
      </right>
      <top/>
      <bottom/>
      <diagonal/>
    </border>
    <border>
      <left style="thin">
        <color rgb="FFA6A6A6"/>
      </left>
      <right/>
      <top/>
      <bottom style="thin">
        <color rgb="FFA6A6A6"/>
      </bottom>
      <diagonal/>
    </border>
    <border>
      <left/>
      <right style="thin">
        <color rgb="FFA6A6A6"/>
      </right>
      <top/>
      <bottom style="thin">
        <color rgb="FFA6A6A6"/>
      </bottom>
      <diagonal/>
    </border>
    <border>
      <left/>
      <right/>
      <top style="thin">
        <color indexed="64"/>
      </top>
      <bottom/>
      <diagonal/>
    </border>
    <border>
      <left/>
      <right style="thin">
        <color indexed="64"/>
      </right>
      <top style="thin">
        <color indexed="64"/>
      </top>
      <bottom/>
      <diagonal/>
    </border>
    <border>
      <left/>
      <right/>
      <top/>
      <bottom style="thin">
        <color rgb="FFA6A6A6"/>
      </bottom>
      <diagonal/>
    </border>
    <border>
      <left style="thin">
        <color auto="1"/>
      </left>
      <right style="thin">
        <color theme="0"/>
      </right>
      <top/>
      <bottom/>
      <diagonal/>
    </border>
    <border>
      <left style="thin">
        <color theme="0"/>
      </left>
      <right style="thin">
        <color theme="0"/>
      </right>
      <top/>
      <bottom/>
      <diagonal/>
    </border>
    <border>
      <left style="thin">
        <color theme="0"/>
      </left>
      <right style="thin">
        <color auto="1"/>
      </right>
      <top/>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style="thin">
        <color rgb="FFA6A6A6"/>
      </left>
      <right style="thin">
        <color rgb="FFA6A6A6"/>
      </right>
      <top style="thin">
        <color rgb="FFA6A6A6"/>
      </top>
      <bottom/>
      <diagonal/>
    </border>
    <border>
      <left style="thin">
        <color theme="0"/>
      </left>
      <right/>
      <top/>
      <bottom/>
      <diagonal/>
    </border>
    <border>
      <left/>
      <right style="thin">
        <color theme="0"/>
      </right>
      <top/>
      <bottom/>
      <diagonal/>
    </border>
    <border>
      <left style="thin">
        <color rgb="FF003366"/>
      </left>
      <right style="thin">
        <color rgb="FF003366"/>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D9D9D9"/>
      </left>
      <right style="thin">
        <color rgb="FFD9D9D9"/>
      </right>
      <top style="thin">
        <color rgb="FFD9D9D9"/>
      </top>
      <bottom style="thin">
        <color rgb="FFD9D9D9"/>
      </bottom>
      <diagonal/>
    </border>
    <border>
      <left style="thin">
        <color theme="1"/>
      </left>
      <right style="thin">
        <color auto="1"/>
      </right>
      <top/>
      <bottom/>
      <diagonal/>
    </border>
  </borders>
  <cellStyleXfs count="3">
    <xf numFmtId="0" fontId="0" fillId="0" borderId="0"/>
    <xf numFmtId="0" fontId="7" fillId="0" borderId="0"/>
    <xf numFmtId="0" fontId="42" fillId="0" borderId="0" applyNumberFormat="0" applyFill="0" applyBorder="0" applyAlignment="0" applyProtection="0"/>
  </cellStyleXfs>
  <cellXfs count="159">
    <xf numFmtId="0" fontId="0" fillId="0" borderId="0" xfId="0"/>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4" fillId="0" borderId="0" xfId="0" applyFont="1"/>
    <xf numFmtId="0" fontId="0" fillId="0" borderId="0" xfId="0" applyProtection="1">
      <protection hidden="1"/>
    </xf>
    <xf numFmtId="0" fontId="0" fillId="2" borderId="0" xfId="0" applyFill="1" applyProtection="1">
      <protection hidden="1"/>
    </xf>
    <xf numFmtId="0" fontId="13" fillId="3" borderId="11"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5" borderId="11" xfId="0" applyFont="1" applyFill="1" applyBorder="1" applyAlignment="1" applyProtection="1">
      <alignment horizontal="center" vertical="center" wrapText="1"/>
      <protection hidden="1"/>
    </xf>
    <xf numFmtId="0" fontId="12" fillId="5" borderId="11" xfId="0" applyFont="1" applyFill="1" applyBorder="1" applyAlignment="1" applyProtection="1">
      <alignment horizontal="left" vertical="center" wrapText="1"/>
      <protection hidden="1"/>
    </xf>
    <xf numFmtId="0" fontId="14" fillId="5" borderId="11" xfId="0" applyFont="1" applyFill="1" applyBorder="1" applyAlignment="1" applyProtection="1">
      <alignment horizontal="center" vertical="center" wrapText="1"/>
      <protection hidden="1"/>
    </xf>
    <xf numFmtId="0" fontId="14" fillId="3" borderId="11" xfId="0" applyFont="1" applyFill="1" applyBorder="1" applyAlignment="1" applyProtection="1">
      <alignment horizontal="left" vertical="center" wrapText="1"/>
      <protection hidden="1"/>
    </xf>
    <xf numFmtId="0" fontId="12" fillId="3" borderId="11" xfId="0" applyFont="1" applyFill="1" applyBorder="1" applyAlignment="1" applyProtection="1">
      <alignment horizontal="center" vertical="center" wrapText="1"/>
      <protection hidden="1"/>
    </xf>
    <xf numFmtId="0" fontId="12" fillId="3" borderId="11" xfId="0" applyFont="1" applyFill="1" applyBorder="1" applyAlignment="1" applyProtection="1">
      <alignment horizontal="left" vertical="center" wrapText="1"/>
      <protection hidden="1"/>
    </xf>
    <xf numFmtId="0" fontId="12" fillId="4" borderId="11" xfId="0" applyFont="1" applyFill="1" applyBorder="1" applyAlignment="1" applyProtection="1">
      <alignment horizontal="left" vertical="center" wrapText="1"/>
      <protection hidden="1"/>
    </xf>
    <xf numFmtId="0" fontId="14" fillId="5" borderId="11" xfId="0" applyFont="1" applyFill="1" applyBorder="1" applyAlignment="1" applyProtection="1">
      <alignment horizontal="left" vertical="center" wrapText="1"/>
      <protection hidden="1"/>
    </xf>
    <xf numFmtId="0" fontId="14" fillId="3" borderId="11" xfId="0" applyFont="1" applyFill="1" applyBorder="1" applyAlignment="1" applyProtection="1">
      <alignment horizontal="center" vertical="center" wrapText="1"/>
      <protection hidden="1"/>
    </xf>
    <xf numFmtId="0" fontId="0" fillId="0" borderId="0" xfId="0" applyAlignment="1">
      <alignment horizontal="center" vertical="center"/>
    </xf>
    <xf numFmtId="0" fontId="5" fillId="0" borderId="0" xfId="0" applyFont="1" applyAlignment="1">
      <alignment vertical="center"/>
    </xf>
    <xf numFmtId="0" fontId="0" fillId="0" borderId="0" xfId="0" applyAlignment="1">
      <alignment vertical="top"/>
    </xf>
    <xf numFmtId="0" fontId="0" fillId="6" borderId="0" xfId="0" applyFill="1"/>
    <xf numFmtId="0" fontId="5" fillId="6" borderId="0" xfId="0" applyFont="1" applyFill="1" applyAlignment="1">
      <alignment vertical="center"/>
    </xf>
    <xf numFmtId="0" fontId="17" fillId="6" borderId="0" xfId="0" applyFont="1" applyFill="1" applyProtection="1">
      <protection hidden="1"/>
    </xf>
    <xf numFmtId="0" fontId="0" fillId="6" borderId="0" xfId="0" applyFill="1" applyAlignment="1">
      <alignment vertical="top"/>
    </xf>
    <xf numFmtId="0" fontId="4" fillId="6" borderId="0" xfId="0" applyFont="1" applyFill="1"/>
    <xf numFmtId="0" fontId="0" fillId="6" borderId="0" xfId="0" applyFill="1" applyAlignment="1">
      <alignment horizontal="center"/>
    </xf>
    <xf numFmtId="0" fontId="18" fillId="6" borderId="0" xfId="0" applyFont="1" applyFill="1" applyAlignment="1" applyProtection="1">
      <alignment vertical="center"/>
      <protection hidden="1"/>
    </xf>
    <xf numFmtId="0" fontId="23" fillId="5" borderId="11" xfId="0" applyFont="1" applyFill="1" applyBorder="1" applyAlignment="1" applyProtection="1">
      <alignment horizontal="center" vertical="center" wrapText="1"/>
      <protection hidden="1"/>
    </xf>
    <xf numFmtId="0" fontId="23" fillId="3" borderId="11" xfId="0" applyFont="1" applyFill="1" applyBorder="1" applyAlignment="1" applyProtection="1">
      <alignment horizontal="center" vertical="center" wrapText="1"/>
      <protection hidden="1"/>
    </xf>
    <xf numFmtId="0" fontId="24" fillId="5"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wrapText="1"/>
      <protection hidden="1"/>
    </xf>
    <xf numFmtId="0" fontId="14" fillId="5" borderId="28" xfId="0" applyFont="1" applyFill="1" applyBorder="1" applyAlignment="1">
      <alignment horizontal="center" vertical="center" wrapText="1"/>
    </xf>
    <xf numFmtId="0" fontId="14" fillId="4" borderId="13" xfId="0" applyFont="1" applyFill="1" applyBorder="1" applyAlignment="1">
      <alignment horizontal="left" vertical="center" wrapText="1"/>
    </xf>
    <xf numFmtId="0" fontId="22" fillId="3" borderId="27" xfId="0" applyFont="1" applyFill="1" applyBorder="1" applyAlignment="1">
      <alignment horizontal="left" vertical="center" wrapText="1"/>
    </xf>
    <xf numFmtId="0" fontId="14" fillId="5" borderId="11" xfId="0" applyFont="1" applyFill="1" applyBorder="1" applyAlignment="1">
      <alignment horizontal="center" vertical="center" wrapText="1"/>
    </xf>
    <xf numFmtId="0" fontId="0" fillId="0" borderId="11" xfId="0" applyBorder="1" applyProtection="1">
      <protection hidden="1"/>
    </xf>
    <xf numFmtId="0" fontId="15" fillId="8" borderId="0" xfId="0" applyFont="1" applyFill="1" applyProtection="1">
      <protection hidden="1"/>
    </xf>
    <xf numFmtId="0" fontId="0" fillId="9" borderId="0" xfId="0" applyFill="1"/>
    <xf numFmtId="0" fontId="15" fillId="10" borderId="0" xfId="0" applyFont="1" applyFill="1" applyProtection="1">
      <protection hidden="1"/>
    </xf>
    <xf numFmtId="0" fontId="17" fillId="10" borderId="0" xfId="0" applyFont="1" applyFill="1" applyProtection="1">
      <protection hidden="1"/>
    </xf>
    <xf numFmtId="0" fontId="16" fillId="10" borderId="0" xfId="0" applyFont="1" applyFill="1" applyProtection="1">
      <protection hidden="1"/>
    </xf>
    <xf numFmtId="0" fontId="18" fillId="10" borderId="0" xfId="0" applyFont="1" applyFill="1" applyAlignment="1" applyProtection="1">
      <alignment vertical="center"/>
      <protection hidden="1"/>
    </xf>
    <xf numFmtId="0" fontId="0" fillId="10" borderId="0" xfId="0" applyFill="1" applyProtection="1">
      <protection hidden="1"/>
    </xf>
    <xf numFmtId="0" fontId="19" fillId="10" borderId="0" xfId="0" applyFont="1" applyFill="1" applyAlignment="1" applyProtection="1">
      <alignment horizontal="center" vertical="center" wrapText="1"/>
      <protection hidden="1"/>
    </xf>
    <xf numFmtId="0" fontId="14" fillId="10" borderId="0" xfId="0" applyFont="1" applyFill="1" applyAlignment="1" applyProtection="1">
      <alignment horizontal="center" vertical="center" wrapText="1"/>
      <protection hidden="1"/>
    </xf>
    <xf numFmtId="0" fontId="12" fillId="10" borderId="0" xfId="0" applyFont="1" applyFill="1" applyAlignment="1" applyProtection="1">
      <alignment horizontal="center" vertical="center" wrapText="1"/>
      <protection hidden="1"/>
    </xf>
    <xf numFmtId="0" fontId="9" fillId="10" borderId="0" xfId="0" applyFont="1" applyFill="1" applyAlignment="1" applyProtection="1">
      <alignment horizontal="center" vertical="center"/>
      <protection hidden="1"/>
    </xf>
    <xf numFmtId="0" fontId="0" fillId="8" borderId="0" xfId="0" applyFill="1" applyProtection="1">
      <protection hidden="1"/>
    </xf>
    <xf numFmtId="0" fontId="20" fillId="8" borderId="11" xfId="0" applyFont="1" applyFill="1" applyBorder="1" applyAlignment="1" applyProtection="1">
      <alignment horizontal="center" vertical="center" wrapText="1"/>
      <protection hidden="1"/>
    </xf>
    <xf numFmtId="0" fontId="20" fillId="11" borderId="11" xfId="0" applyFont="1" applyFill="1" applyBorder="1" applyAlignment="1" applyProtection="1">
      <alignment horizontal="center" vertical="center" wrapText="1"/>
      <protection hidden="1"/>
    </xf>
    <xf numFmtId="0" fontId="28" fillId="8" borderId="11" xfId="0" applyFont="1" applyFill="1" applyBorder="1" applyAlignment="1" applyProtection="1">
      <alignment horizontal="center" vertical="center" wrapText="1"/>
      <protection hidden="1"/>
    </xf>
    <xf numFmtId="0" fontId="10" fillId="12" borderId="22" xfId="0" applyFont="1" applyFill="1" applyBorder="1" applyAlignment="1" applyProtection="1">
      <alignment vertical="center"/>
      <protection locked="0"/>
    </xf>
    <xf numFmtId="0" fontId="10" fillId="12" borderId="23" xfId="0" applyFont="1" applyFill="1" applyBorder="1" applyAlignment="1" applyProtection="1">
      <alignment vertical="center" wrapText="1"/>
      <protection locked="0"/>
    </xf>
    <xf numFmtId="0" fontId="21" fillId="12" borderId="23" xfId="1" applyFont="1" applyFill="1" applyBorder="1" applyAlignment="1" applyProtection="1">
      <alignment horizontal="center" vertical="center" wrapText="1"/>
      <protection locked="0"/>
    </xf>
    <xf numFmtId="0" fontId="21" fillId="12" borderId="29" xfId="1" applyFont="1" applyFill="1" applyBorder="1" applyAlignment="1" applyProtection="1">
      <alignment horizontal="center" vertical="center" wrapText="1"/>
      <protection locked="0"/>
    </xf>
    <xf numFmtId="0" fontId="21" fillId="12" borderId="31" xfId="1" applyFont="1" applyFill="1" applyBorder="1" applyAlignment="1" applyProtection="1">
      <alignment horizontal="center" vertical="center" wrapText="1"/>
      <protection locked="0"/>
    </xf>
    <xf numFmtId="0" fontId="21" fillId="12" borderId="30" xfId="1" applyFont="1" applyFill="1" applyBorder="1" applyAlignment="1" applyProtection="1">
      <alignment horizontal="center" vertical="center" wrapText="1"/>
      <protection locked="0"/>
    </xf>
    <xf numFmtId="0" fontId="21" fillId="12" borderId="24" xfId="1" applyFont="1" applyFill="1" applyBorder="1" applyAlignment="1" applyProtection="1">
      <alignment horizontal="center" vertical="center" wrapText="1"/>
      <protection locked="0"/>
    </xf>
    <xf numFmtId="0" fontId="0" fillId="8" borderId="0" xfId="0" applyFill="1"/>
    <xf numFmtId="0" fontId="0" fillId="10" borderId="0" xfId="0" applyFill="1"/>
    <xf numFmtId="0" fontId="15" fillId="10" borderId="0" xfId="0" applyFont="1" applyFill="1" applyAlignment="1" applyProtection="1">
      <alignment vertical="center"/>
      <protection hidden="1"/>
    </xf>
    <xf numFmtId="0" fontId="10" fillId="11" borderId="0" xfId="0" applyFont="1" applyFill="1" applyProtection="1">
      <protection hidden="1"/>
    </xf>
    <xf numFmtId="0" fontId="11" fillId="11" borderId="0" xfId="0" applyFont="1" applyFill="1" applyAlignment="1" applyProtection="1">
      <alignment vertical="justify" wrapText="1"/>
      <protection hidden="1"/>
    </xf>
    <xf numFmtId="0" fontId="31" fillId="11" borderId="0" xfId="0" applyFont="1" applyFill="1" applyAlignment="1" applyProtection="1">
      <alignment vertical="justify" wrapText="1"/>
      <protection hidden="1"/>
    </xf>
    <xf numFmtId="0" fontId="32" fillId="8" borderId="1" xfId="0" applyFont="1" applyFill="1" applyBorder="1" applyAlignment="1" applyProtection="1">
      <alignment horizontal="center" vertical="center" wrapText="1"/>
      <protection hidden="1"/>
    </xf>
    <xf numFmtId="0" fontId="0" fillId="13" borderId="1" xfId="0" applyFill="1" applyBorder="1" applyAlignment="1" applyProtection="1">
      <alignment horizontal="center"/>
      <protection locked="0"/>
    </xf>
    <xf numFmtId="0" fontId="34" fillId="8" borderId="1" xfId="0" applyFont="1" applyFill="1" applyBorder="1" applyAlignment="1" applyProtection="1">
      <alignment horizontal="center" vertical="center" wrapText="1"/>
      <protection hidden="1"/>
    </xf>
    <xf numFmtId="0" fontId="9" fillId="13" borderId="1" xfId="0" applyFont="1" applyFill="1" applyBorder="1" applyAlignment="1" applyProtection="1">
      <alignment horizontal="center" vertical="center"/>
      <protection locked="0"/>
    </xf>
    <xf numFmtId="0" fontId="0" fillId="0" borderId="1" xfId="0" applyBorder="1" applyAlignment="1" applyProtection="1">
      <alignment horizontal="justify" vertical="center" wrapText="1"/>
      <protection hidden="1"/>
    </xf>
    <xf numFmtId="0" fontId="6" fillId="0" borderId="1" xfId="0" applyFont="1" applyBorder="1" applyAlignment="1" applyProtection="1">
      <alignment horizontal="justify" vertical="center" wrapText="1"/>
      <protection hidden="1"/>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xf>
    <xf numFmtId="0" fontId="0" fillId="11" borderId="0" xfId="0" applyFill="1" applyProtection="1">
      <protection hidden="1"/>
    </xf>
    <xf numFmtId="0" fontId="0" fillId="12" borderId="0" xfId="0" applyFill="1"/>
    <xf numFmtId="0" fontId="31" fillId="12" borderId="0" xfId="0" applyFont="1" applyFill="1" applyAlignment="1" applyProtection="1">
      <alignment vertical="justify" wrapText="1"/>
      <protection hidden="1"/>
    </xf>
    <xf numFmtId="0" fontId="0" fillId="14" borderId="1" xfId="0" applyFill="1" applyBorder="1" applyAlignment="1" applyProtection="1">
      <alignment horizontal="center"/>
      <protection hidden="1"/>
    </xf>
    <xf numFmtId="3" fontId="0" fillId="13" borderId="1" xfId="0" applyNumberFormat="1" applyFill="1" applyBorder="1" applyAlignment="1" applyProtection="1">
      <alignment horizontal="center"/>
      <protection locked="0"/>
    </xf>
    <xf numFmtId="0" fontId="20" fillId="15" borderId="34" xfId="0" applyFont="1" applyFill="1" applyBorder="1" applyAlignment="1">
      <alignment horizontal="center" vertical="center" wrapText="1"/>
    </xf>
    <xf numFmtId="0" fontId="0" fillId="0" borderId="34" xfId="0" applyBorder="1" applyAlignment="1">
      <alignment horizontal="center"/>
    </xf>
    <xf numFmtId="165" fontId="0" fillId="0" borderId="34" xfId="0" applyNumberFormat="1" applyBorder="1" applyAlignment="1">
      <alignment horizontal="center"/>
    </xf>
    <xf numFmtId="166" fontId="0" fillId="0" borderId="34" xfId="0" applyNumberFormat="1" applyBorder="1" applyAlignment="1">
      <alignment horizontal="center"/>
    </xf>
    <xf numFmtId="0" fontId="39" fillId="16" borderId="10" xfId="1" applyFont="1" applyFill="1" applyBorder="1" applyAlignment="1" applyProtection="1">
      <alignment horizontal="center" vertical="center" wrapText="1"/>
      <protection locked="0"/>
    </xf>
    <xf numFmtId="0" fontId="21" fillId="17" borderId="10" xfId="1" applyFont="1" applyFill="1" applyBorder="1" applyAlignment="1" applyProtection="1">
      <alignment horizontal="center" vertical="center" wrapText="1"/>
      <protection locked="0"/>
    </xf>
    <xf numFmtId="0" fontId="0" fillId="0" borderId="10" xfId="0" applyBorder="1" applyAlignment="1">
      <alignment horizontal="center"/>
    </xf>
    <xf numFmtId="0" fontId="40" fillId="6" borderId="0" xfId="0" applyFont="1" applyFill="1"/>
    <xf numFmtId="0" fontId="0" fillId="18" borderId="0" xfId="0" applyFill="1" applyAlignment="1">
      <alignment horizontal="center"/>
    </xf>
    <xf numFmtId="0" fontId="39" fillId="19" borderId="10" xfId="1" applyFont="1" applyFill="1" applyBorder="1" applyAlignment="1" applyProtection="1">
      <alignment horizontal="center" vertical="center" wrapText="1"/>
      <protection locked="0"/>
    </xf>
    <xf numFmtId="0" fontId="21" fillId="20" borderId="10" xfId="1" applyFont="1" applyFill="1" applyBorder="1" applyAlignment="1" applyProtection="1">
      <alignment horizontal="center" vertical="center" wrapText="1"/>
      <protection locked="0"/>
    </xf>
    <xf numFmtId="0" fontId="39" fillId="19" borderId="6" xfId="1" applyFont="1" applyFill="1" applyBorder="1" applyAlignment="1" applyProtection="1">
      <alignment horizontal="center" vertical="center" wrapText="1"/>
      <protection locked="0"/>
    </xf>
    <xf numFmtId="0" fontId="39" fillId="21" borderId="10" xfId="1" applyFont="1" applyFill="1" applyBorder="1" applyAlignment="1" applyProtection="1">
      <alignment horizontal="center" vertical="center" wrapText="1"/>
      <protection locked="0"/>
    </xf>
    <xf numFmtId="0" fontId="21" fillId="22" borderId="10" xfId="1" applyFont="1" applyFill="1" applyBorder="1" applyAlignment="1" applyProtection="1">
      <alignment horizontal="center" vertical="center" wrapText="1"/>
      <protection locked="0"/>
    </xf>
    <xf numFmtId="0" fontId="41" fillId="5" borderId="11" xfId="0" applyFont="1" applyFill="1" applyBorder="1" applyAlignment="1" applyProtection="1">
      <alignment horizontal="center" vertical="center" wrapText="1"/>
      <protection hidden="1"/>
    </xf>
    <xf numFmtId="0" fontId="41" fillId="3" borderId="11" xfId="0" applyFont="1" applyFill="1" applyBorder="1" applyAlignment="1" applyProtection="1">
      <alignment horizontal="center" vertical="center" wrapText="1"/>
      <protection hidden="1"/>
    </xf>
    <xf numFmtId="164" fontId="0" fillId="0" borderId="10" xfId="0" applyNumberFormat="1" applyBorder="1" applyAlignment="1">
      <alignment horizontal="center"/>
    </xf>
    <xf numFmtId="0" fontId="13" fillId="8" borderId="11" xfId="0" applyFont="1" applyFill="1" applyBorder="1" applyAlignment="1" applyProtection="1">
      <alignment horizontal="left" vertical="center" wrapText="1"/>
      <protection hidden="1"/>
    </xf>
    <xf numFmtId="0" fontId="0" fillId="8" borderId="11" xfId="0" applyFill="1" applyBorder="1" applyProtection="1">
      <protection hidden="1"/>
    </xf>
    <xf numFmtId="164" fontId="23" fillId="5" borderId="11" xfId="0" applyNumberFormat="1" applyFont="1" applyFill="1" applyBorder="1" applyAlignment="1" applyProtection="1">
      <alignment horizontal="center" vertical="center" wrapText="1"/>
      <protection hidden="1"/>
    </xf>
    <xf numFmtId="164" fontId="23" fillId="3" borderId="11" xfId="0" applyNumberFormat="1" applyFont="1" applyFill="1" applyBorder="1" applyAlignment="1" applyProtection="1">
      <alignment horizontal="center" vertical="center" wrapText="1"/>
      <protection hidden="1"/>
    </xf>
    <xf numFmtId="164" fontId="24" fillId="5" borderId="11" xfId="0" applyNumberFormat="1" applyFont="1" applyFill="1" applyBorder="1" applyAlignment="1" applyProtection="1">
      <alignment horizontal="center" vertical="center" wrapText="1"/>
      <protection hidden="1"/>
    </xf>
    <xf numFmtId="164" fontId="24" fillId="3" borderId="11" xfId="0" applyNumberFormat="1" applyFont="1" applyFill="1" applyBorder="1" applyAlignment="1" applyProtection="1">
      <alignment horizontal="center" vertical="center" wrapText="1"/>
      <protection hidden="1"/>
    </xf>
    <xf numFmtId="0" fontId="21" fillId="23" borderId="35" xfId="1" applyFont="1" applyFill="1" applyBorder="1" applyAlignment="1" applyProtection="1">
      <alignment horizontal="center" vertical="center" wrapText="1"/>
      <protection locked="0"/>
    </xf>
    <xf numFmtId="2" fontId="14" fillId="5" borderId="11" xfId="0" applyNumberFormat="1" applyFont="1" applyFill="1" applyBorder="1" applyAlignment="1" applyProtection="1">
      <alignment horizontal="center" vertical="center" wrapText="1"/>
      <protection hidden="1"/>
    </xf>
    <xf numFmtId="2" fontId="13" fillId="8" borderId="11" xfId="0" applyNumberFormat="1" applyFont="1" applyFill="1" applyBorder="1" applyAlignment="1" applyProtection="1">
      <alignment horizontal="center" vertical="center" wrapText="1"/>
      <protection hidden="1"/>
    </xf>
    <xf numFmtId="0" fontId="43" fillId="10" borderId="0" xfId="0" applyFont="1" applyFill="1" applyProtection="1">
      <protection hidden="1"/>
    </xf>
    <xf numFmtId="0" fontId="32" fillId="11" borderId="5" xfId="0" applyFont="1" applyFill="1" applyBorder="1" applyAlignment="1" applyProtection="1">
      <alignment horizontal="center" vertical="center" wrapText="1"/>
      <protection hidden="1"/>
    </xf>
    <xf numFmtId="0" fontId="21" fillId="12" borderId="7" xfId="1" applyFont="1" applyFill="1" applyBorder="1" applyAlignment="1" applyProtection="1">
      <alignment horizontal="center" vertical="center" wrapText="1"/>
      <protection locked="0"/>
    </xf>
    <xf numFmtId="0" fontId="44" fillId="10" borderId="0" xfId="0" applyFont="1" applyFill="1" applyAlignment="1">
      <alignment horizontal="justify" vertical="center" wrapText="1"/>
    </xf>
    <xf numFmtId="0" fontId="44" fillId="10" borderId="0" xfId="0" applyFont="1" applyFill="1" applyAlignment="1">
      <alignment horizontal="justify" vertical="center"/>
    </xf>
    <xf numFmtId="0" fontId="0" fillId="10" borderId="0" xfId="0" applyFill="1"/>
    <xf numFmtId="0" fontId="3" fillId="11" borderId="0" xfId="0" applyFont="1" applyFill="1" applyAlignment="1" applyProtection="1">
      <alignment horizontal="center"/>
      <protection locked="0" hidden="1"/>
    </xf>
    <xf numFmtId="0" fontId="1" fillId="11" borderId="0" xfId="0" applyFont="1" applyFill="1" applyAlignment="1" applyProtection="1">
      <alignment horizontal="left" vertical="top" wrapText="1"/>
      <protection locked="0" hidden="1"/>
    </xf>
    <xf numFmtId="0" fontId="3" fillId="7" borderId="0" xfId="0" applyFont="1" applyFill="1" applyAlignment="1" applyProtection="1">
      <alignment horizontal="center"/>
      <protection locked="0" hidden="1"/>
    </xf>
    <xf numFmtId="0" fontId="1" fillId="7" borderId="0" xfId="0" applyFont="1" applyFill="1" applyAlignment="1" applyProtection="1">
      <alignment horizontal="left" vertical="top" wrapText="1"/>
      <protection locked="0" hidden="1"/>
    </xf>
    <xf numFmtId="0" fontId="3" fillId="8" borderId="0" xfId="2" applyFont="1" applyFill="1" applyAlignment="1" applyProtection="1">
      <alignment horizontal="center"/>
      <protection locked="0" hidden="1"/>
    </xf>
    <xf numFmtId="0" fontId="42" fillId="8" borderId="0" xfId="2" applyFill="1" applyAlignment="1" applyProtection="1">
      <alignment horizontal="left" vertical="top" wrapText="1"/>
      <protection locked="0" hidden="1"/>
    </xf>
    <xf numFmtId="0" fontId="11" fillId="11" borderId="0" xfId="0" applyFont="1" applyFill="1" applyAlignment="1">
      <alignment horizontal="center" vertical="justify" wrapText="1"/>
    </xf>
    <xf numFmtId="0" fontId="31" fillId="11" borderId="0" xfId="0" applyFont="1" applyFill="1" applyAlignment="1" applyProtection="1">
      <alignment horizontal="center" vertical="justify" wrapText="1"/>
      <protection hidden="1"/>
    </xf>
    <xf numFmtId="0" fontId="14" fillId="6" borderId="13" xfId="0" applyFont="1" applyFill="1" applyBorder="1" applyAlignment="1" applyProtection="1">
      <alignment horizontal="justify" vertical="center" wrapText="1"/>
      <protection hidden="1"/>
    </xf>
    <xf numFmtId="0" fontId="14" fillId="6" borderId="14" xfId="0" applyFont="1" applyFill="1" applyBorder="1" applyAlignment="1" applyProtection="1">
      <alignment horizontal="justify" vertical="center" wrapText="1"/>
      <protection hidden="1"/>
    </xf>
    <xf numFmtId="0" fontId="14" fillId="6" borderId="15" xfId="0" applyFont="1" applyFill="1" applyBorder="1" applyAlignment="1" applyProtection="1">
      <alignment horizontal="justify" vertical="center" wrapText="1"/>
      <protection hidden="1"/>
    </xf>
    <xf numFmtId="0" fontId="14" fillId="6" borderId="16" xfId="0" applyFont="1" applyFill="1" applyBorder="1" applyAlignment="1" applyProtection="1">
      <alignment horizontal="justify" vertical="center" wrapText="1"/>
      <protection hidden="1"/>
    </xf>
    <xf numFmtId="0" fontId="14" fillId="6" borderId="17" xfId="0" applyFont="1" applyFill="1" applyBorder="1" applyAlignment="1" applyProtection="1">
      <alignment horizontal="justify" vertical="center" wrapText="1"/>
      <protection hidden="1"/>
    </xf>
    <xf numFmtId="0" fontId="14" fillId="6" borderId="18" xfId="0" applyFont="1" applyFill="1" applyBorder="1" applyAlignment="1" applyProtection="1">
      <alignment horizontal="justify" vertical="center" wrapText="1"/>
      <protection hidden="1"/>
    </xf>
    <xf numFmtId="0" fontId="13" fillId="6" borderId="11" xfId="0" applyFont="1" applyFill="1" applyBorder="1" applyAlignment="1" applyProtection="1">
      <alignment horizontal="center" vertical="center" wrapText="1"/>
      <protection hidden="1"/>
    </xf>
    <xf numFmtId="0" fontId="0" fillId="6" borderId="11" xfId="0" applyFill="1" applyBorder="1" applyAlignment="1" applyProtection="1">
      <alignment horizontal="center"/>
      <protection hidden="1"/>
    </xf>
    <xf numFmtId="0" fontId="32" fillId="11" borderId="3" xfId="0" applyFont="1" applyFill="1" applyBorder="1" applyAlignment="1" applyProtection="1">
      <alignment horizontal="center" vertical="center" wrapText="1"/>
      <protection hidden="1"/>
    </xf>
    <xf numFmtId="0" fontId="32" fillId="11" borderId="4" xfId="0" applyFont="1" applyFill="1" applyBorder="1" applyAlignment="1" applyProtection="1">
      <alignment horizontal="center" vertical="center" wrapText="1"/>
      <protection hidden="1"/>
    </xf>
    <xf numFmtId="0" fontId="32" fillId="11" borderId="5" xfId="0" applyFont="1" applyFill="1" applyBorder="1" applyAlignment="1" applyProtection="1">
      <alignment horizontal="center" vertical="center" wrapText="1"/>
      <protection hidden="1"/>
    </xf>
    <xf numFmtId="0" fontId="12" fillId="6" borderId="3" xfId="0" applyFont="1" applyFill="1" applyBorder="1" applyAlignment="1" applyProtection="1">
      <alignment horizontal="left" vertical="center" wrapText="1"/>
      <protection hidden="1"/>
    </xf>
    <xf numFmtId="0" fontId="12" fillId="6" borderId="5" xfId="0" applyFont="1" applyFill="1" applyBorder="1" applyAlignment="1" applyProtection="1">
      <alignment horizontal="left" vertical="center" wrapText="1"/>
      <protection hidden="1"/>
    </xf>
    <xf numFmtId="0" fontId="32" fillId="11" borderId="1" xfId="0" applyFont="1" applyFill="1" applyBorder="1" applyAlignment="1" applyProtection="1">
      <alignment horizontal="center" vertical="center" wrapText="1"/>
      <protection hidden="1"/>
    </xf>
    <xf numFmtId="0" fontId="32" fillId="8" borderId="3" xfId="0" applyFont="1" applyFill="1" applyBorder="1" applyAlignment="1" applyProtection="1">
      <alignment horizontal="center" vertical="center" wrapText="1"/>
      <protection hidden="1"/>
    </xf>
    <xf numFmtId="0" fontId="32" fillId="8" borderId="5" xfId="0" applyFont="1" applyFill="1" applyBorder="1" applyAlignment="1" applyProtection="1">
      <alignment horizontal="center" vertical="center" wrapText="1"/>
      <protection hidden="1"/>
    </xf>
    <xf numFmtId="0" fontId="30" fillId="6" borderId="32" xfId="0" applyFont="1" applyFill="1" applyBorder="1" applyAlignment="1" applyProtection="1">
      <alignment horizontal="center" vertical="center"/>
      <protection hidden="1"/>
    </xf>
    <xf numFmtId="0" fontId="30" fillId="6" borderId="33" xfId="0" applyFont="1" applyFill="1" applyBorder="1" applyAlignment="1" applyProtection="1">
      <alignment horizontal="center" vertical="center"/>
      <protection hidden="1"/>
    </xf>
    <xf numFmtId="0" fontId="31" fillId="11" borderId="9" xfId="0" applyFont="1" applyFill="1" applyBorder="1" applyAlignment="1" applyProtection="1">
      <alignment horizontal="center" vertical="center" wrapText="1"/>
      <protection hidden="1"/>
    </xf>
    <xf numFmtId="0" fontId="31" fillId="11" borderId="19" xfId="0" applyFont="1" applyFill="1" applyBorder="1" applyAlignment="1" applyProtection="1">
      <alignment horizontal="center" vertical="center" wrapText="1"/>
      <protection hidden="1"/>
    </xf>
    <xf numFmtId="0" fontId="31" fillId="11" borderId="20" xfId="0" applyFont="1" applyFill="1" applyBorder="1" applyAlignment="1" applyProtection="1">
      <alignment horizontal="center" vertical="center" wrapText="1"/>
      <protection hidden="1"/>
    </xf>
    <xf numFmtId="0" fontId="33" fillId="11" borderId="12" xfId="0" applyFont="1" applyFill="1" applyBorder="1" applyAlignment="1" applyProtection="1">
      <alignment horizontal="center" vertical="center" wrapText="1"/>
      <protection hidden="1"/>
    </xf>
    <xf numFmtId="0" fontId="33" fillId="11" borderId="2" xfId="0" applyFont="1" applyFill="1" applyBorder="1" applyAlignment="1" applyProtection="1">
      <alignment horizontal="center" vertical="center" wrapText="1"/>
      <protection hidden="1"/>
    </xf>
    <xf numFmtId="0" fontId="33" fillId="11" borderId="8" xfId="0" applyFont="1" applyFill="1" applyBorder="1" applyAlignment="1" applyProtection="1">
      <alignment horizontal="center" vertical="center" wrapText="1"/>
      <protection hidden="1"/>
    </xf>
    <xf numFmtId="0" fontId="26" fillId="11" borderId="27" xfId="0" applyFont="1" applyFill="1" applyBorder="1" applyAlignment="1" applyProtection="1">
      <alignment horizontal="center" vertical="center"/>
      <protection hidden="1"/>
    </xf>
    <xf numFmtId="0" fontId="26" fillId="11" borderId="25" xfId="0" applyFont="1" applyFill="1" applyBorder="1" applyAlignment="1" applyProtection="1">
      <alignment horizontal="center" vertical="center"/>
      <protection hidden="1"/>
    </xf>
    <xf numFmtId="0" fontId="26" fillId="11" borderId="26" xfId="0" applyFont="1" applyFill="1" applyBorder="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31" fillId="12" borderId="0" xfId="0" applyFont="1" applyFill="1" applyAlignment="1" applyProtection="1">
      <alignment horizontal="center" vertical="justify" wrapText="1"/>
      <protection hidden="1"/>
    </xf>
    <xf numFmtId="0" fontId="5" fillId="0" borderId="0" xfId="0" applyFont="1" applyAlignment="1">
      <alignment horizontal="justify" vertical="center" wrapText="1"/>
    </xf>
    <xf numFmtId="0" fontId="0" fillId="0" borderId="0" xfId="0" applyAlignment="1">
      <alignment vertical="center" wrapText="1"/>
    </xf>
    <xf numFmtId="0" fontId="5" fillId="0" borderId="0" xfId="0" applyFont="1" applyAlignment="1">
      <alignment vertical="center" wrapText="1"/>
    </xf>
    <xf numFmtId="0" fontId="0" fillId="0" borderId="6" xfId="0" applyBorder="1" applyAlignment="1">
      <alignment vertical="center"/>
    </xf>
    <xf numFmtId="0" fontId="0" fillId="0" borderId="6" xfId="0"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pplyProtection="1">
      <alignment horizontal="center" vertical="center"/>
      <protection hidden="1"/>
    </xf>
    <xf numFmtId="0" fontId="8" fillId="0" borderId="0" xfId="0" applyFont="1" applyAlignment="1">
      <alignment horizontal="center" vertical="center"/>
    </xf>
    <xf numFmtId="0" fontId="0" fillId="0" borderId="7" xfId="0" applyBorder="1" applyAlignment="1">
      <alignment horizontal="center" vertical="center"/>
    </xf>
  </cellXfs>
  <cellStyles count="3">
    <cellStyle name="Hipervínculo" xfId="2" builtinId="8"/>
    <cellStyle name="Normal" xfId="0" builtinId="0"/>
    <cellStyle name="Normal 2" xfId="1" xr:uid="{DA719E05-30F2-450E-AD3B-346079F1923E}"/>
  </cellStyles>
  <dxfs count="72">
    <dxf>
      <alignment horizontal="center" vertical="center" textRotation="0" wrapText="0" indent="0" justifyLastLine="0" shrinkToFit="0" readingOrder="0"/>
      <border diagonalUp="0" diagonalDown="0" outline="0">
        <left/>
        <right style="thin">
          <color indexed="64"/>
        </right>
        <top/>
        <bottom/>
      </border>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0" formatCode="General"/>
      <alignment horizontal="center" vertical="center" textRotation="0" wrapText="0" indent="0" justifyLastLine="0" shrinkToFit="0" readingOrder="0"/>
    </dxf>
    <dxf>
      <font>
        <strike val="0"/>
        <outline val="0"/>
        <shadow val="0"/>
        <u val="none"/>
        <vertAlign val="baseline"/>
        <sz val="26"/>
        <name val="Aptos Narrow"/>
        <family val="2"/>
        <scheme val="minor"/>
      </font>
      <numFmt numFmtId="0" formatCode="General"/>
      <alignment horizontal="center" vertical="center" textRotation="0" wrapText="0" indent="0" justifyLastLine="0" shrinkToFit="0" readingOrder="0"/>
    </dxf>
    <dxf>
      <font>
        <strike val="0"/>
        <outline val="0"/>
        <shadow val="0"/>
        <u val="none"/>
        <vertAlign val="baseline"/>
        <sz val="26"/>
        <name val="Aptos Narrow"/>
        <family val="2"/>
        <scheme val="minor"/>
      </font>
      <numFmt numFmtId="0" formatCode="General"/>
      <alignment horizontal="center" vertical="center" textRotation="0" wrapText="0" indent="0" justifyLastLine="0" shrinkToFit="0" readingOrder="0"/>
    </dxf>
    <dxf>
      <font>
        <strike val="0"/>
        <outline val="0"/>
        <shadow val="0"/>
        <u val="none"/>
        <vertAlign val="baseline"/>
        <sz val="26"/>
        <name val="Aptos Narrow"/>
        <family val="2"/>
        <scheme val="minor"/>
      </font>
      <numFmt numFmtId="0" formatCode="General"/>
      <alignment horizontal="center" vertical="center" textRotation="0" wrapText="0" indent="0" justifyLastLine="0" shrinkToFit="0" readingOrder="0"/>
    </dxf>
    <dxf>
      <font>
        <strike val="0"/>
        <outline val="0"/>
        <shadow val="0"/>
        <u val="none"/>
        <vertAlign val="baseline"/>
        <sz val="26"/>
        <name val="Aptos Narrow"/>
        <family val="2"/>
        <scheme val="minor"/>
      </font>
      <numFmt numFmtId="0" formatCode="General"/>
      <alignment horizontal="center"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1"/>
        <color auto="1"/>
        <name val="Aptos Narrow"/>
        <family val="2"/>
        <scheme val="minor"/>
      </font>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b/>
        <i val="0"/>
        <strike val="0"/>
        <condense val="0"/>
        <extend val="0"/>
        <outline val="0"/>
        <shadow val="0"/>
        <u val="none"/>
        <vertAlign val="baseline"/>
        <sz val="12"/>
        <color theme="1"/>
        <name val="Aptos Narrow"/>
        <family val="2"/>
        <scheme val="minor"/>
      </font>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Aptos Narrow"/>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alignment horizontal="general" vertical="center" textRotation="0" wrapText="1" indent="0" justifyLastLine="0" shrinkToFit="0" readingOrder="0"/>
    </dxf>
    <dxf>
      <alignment vertical="center" textRotation="0" indent="0" justifyLastLine="0" shrinkToFit="0" readingOrder="0"/>
      <border diagonalUp="0" diagonalDown="0" outline="0">
        <left style="thin">
          <color indexed="64"/>
        </left>
        <top/>
        <bottom/>
      </border>
    </dxf>
    <dxf>
      <numFmt numFmtId="164" formatCode="0.0"/>
      <alignment horizontal="center" vertical="bottom" textRotation="0" wrapText="0" indent="0" justifyLastLine="0" shrinkToFit="0" readingOrder="0"/>
      <border diagonalUp="0" diagonalDown="0">
        <left style="thin">
          <color auto="1"/>
        </left>
        <right style="thin">
          <color auto="1"/>
        </right>
        <top/>
        <bottom/>
      </border>
    </dxf>
    <dxf>
      <numFmt numFmtId="0" formatCode="General"/>
      <alignment horizontal="center" vertical="bottom" textRotation="0" wrapText="0" indent="0" justifyLastLine="0" shrinkToFit="0" readingOrder="0"/>
      <border outline="0">
        <right style="thin">
          <color auto="1"/>
        </right>
      </border>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diagonalUp="0" diagonalDown="0">
        <left style="thin">
          <color auto="1"/>
        </left>
        <right style="thin">
          <color auto="1"/>
        </right>
        <top/>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diagonalUp="0" diagonalDown="0">
        <left style="thin">
          <color auto="1"/>
        </left>
        <right style="thin">
          <color auto="1"/>
        </right>
        <top/>
        <bottom/>
        <vertical/>
        <horizontal/>
      </border>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diagonalUp="0" diagonalDown="0">
        <left style="thin">
          <color auto="1"/>
        </left>
        <right style="thin">
          <color auto="1"/>
        </right>
        <top/>
        <bottom/>
        <vertical/>
        <horizontal/>
      </border>
    </dxf>
    <dxf>
      <alignment horizontal="center" vertical="bottom" textRotation="0" wrapText="0" indent="0" justifyLastLine="0" shrinkToFit="0" readingOrder="0"/>
    </dxf>
    <dxf>
      <font>
        <b val="0"/>
        <i val="0"/>
        <strike val="0"/>
        <condense val="0"/>
        <extend val="0"/>
        <outline val="0"/>
        <shadow val="0"/>
        <u val="none"/>
        <vertAlign val="baseline"/>
        <sz val="11"/>
        <color theme="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0"/>
        </left>
        <right style="thin">
          <color theme="0"/>
        </right>
        <top/>
        <bottom/>
        <vertical style="thin">
          <color theme="0"/>
        </vertical>
        <horizontal/>
      </border>
      <protection locked="0" hidden="0"/>
    </dxf>
    <dxf>
      <font>
        <color rgb="FF9C0006"/>
      </font>
      <fill>
        <patternFill>
          <bgColor rgb="FFFFC7CE"/>
        </patternFill>
      </fill>
    </dxf>
    <dxf>
      <font>
        <color rgb="FF006100"/>
      </font>
      <fill>
        <patternFill>
          <bgColor rgb="FFC6EFCE"/>
        </patternFill>
      </fill>
    </dxf>
    <dxf>
      <font>
        <color theme="2" tint="-0.499984740745262"/>
      </font>
    </dxf>
    <dxf>
      <font>
        <color rgb="FF9C0006"/>
      </font>
      <fill>
        <patternFill>
          <bgColor rgb="FFFFC7CE"/>
        </patternFill>
      </fill>
    </dxf>
  </dxfs>
  <tableStyles count="0" defaultTableStyle="TableStyleMedium2" defaultPivotStyle="PivotStyleLight16"/>
  <colors>
    <mruColors>
      <color rgb="FF003366"/>
      <color rgb="FFCDFFF8"/>
      <color rgb="FFC09200"/>
      <color rgb="FF002142"/>
      <color rgb="FF009882"/>
      <color rgb="FFFFFF99"/>
      <color rgb="FFFFBDBD"/>
      <color rgb="FF00483E"/>
      <color rgb="FFB2CDF8"/>
      <color rgb="FF0E41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11.xml"/><Relationship Id="rId20" Type="http://schemas.microsoft.com/office/2007/relationships/slicerCache" Target="slicerCaches/slicerCache15.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openxmlformats.org/officeDocument/2006/relationships/sheetMetadata" Target="metadata.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sharedStrings" Target="sharedStrings.xml"/><Relationship Id="rId28" Type="http://schemas.openxmlformats.org/officeDocument/2006/relationships/customXml" Target="../customXml/item3.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styles" Target="styles.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47953216374272E-2"/>
          <c:y val="0"/>
          <c:w val="0.91830409356725151"/>
          <c:h val="1"/>
        </c:manualLayout>
      </c:layout>
      <c:barChart>
        <c:barDir val="bar"/>
        <c:grouping val="clustered"/>
        <c:varyColors val="0"/>
        <c:ser>
          <c:idx val="0"/>
          <c:order val="0"/>
          <c:spPr>
            <a:solidFill>
              <a:srgbClr val="0E4194"/>
            </a:solidFill>
            <a:ln>
              <a:prstDash val="solid"/>
            </a:ln>
            <a:effectLst>
              <a:outerShdw blurRad="50800" dist="38100" dir="2700000" algn="tl" rotWithShape="0">
                <a:prstClr val="black">
                  <a:alpha val="40000"/>
                </a:prstClr>
              </a:outerShdw>
            </a:effectLst>
          </c:spPr>
          <c:invertIfNegative val="0"/>
          <c:cat>
            <c:strRef>
              <c:f>'3.RESULTS'!$M$10:$M$12</c:f>
              <c:strCache>
                <c:ptCount val="3"/>
                <c:pt idx="0">
                  <c:v>Communication and awareness raising</c:v>
                </c:pt>
                <c:pt idx="1">
                  <c:v>Prevention</c:v>
                </c:pt>
                <c:pt idx="2">
                  <c:v>Ready to go measures</c:v>
                </c:pt>
              </c:strCache>
            </c:strRef>
          </c:cat>
          <c:val>
            <c:numRef>
              <c:f>'3.RESULTS'!$N$10:$N$12</c:f>
              <c:numCache>
                <c:formatCode>General</c:formatCode>
                <c:ptCount val="3"/>
                <c:pt idx="0">
                  <c:v>25</c:v>
                </c:pt>
                <c:pt idx="1">
                  <c:v>56</c:v>
                </c:pt>
                <c:pt idx="2">
                  <c:v>60</c:v>
                </c:pt>
              </c:numCache>
            </c:numRef>
          </c:val>
          <c:extLst>
            <c:ext xmlns:c15="http://schemas.microsoft.com/office/drawing/2012/chart" uri="{02D57815-91ED-43cb-92C2-25804820EDAC}">
              <c15:filteredSeriesTitle>
                <c15:tx>
                  <c:strRef>
                    <c:extLst>
                      <c:ext uri="{02D57815-91ED-43cb-92C2-25804820EDAC}">
                        <c15:formulaRef>
                          <c15:sqref>'3.RESULTS'!#REF!</c15:sqref>
                        </c15:formulaRef>
                      </c:ext>
                    </c:extLst>
                    <c:strCache>
                      <c:ptCount val="1"/>
                      <c:pt idx="0">
                        <c:v>#¡REF!</c:v>
                      </c:pt>
                    </c:strCache>
                  </c:strRef>
                </c15:tx>
              </c15:filteredSeriesTitle>
            </c:ext>
            <c:ext xmlns:c16="http://schemas.microsoft.com/office/drawing/2014/chart" uri="{C3380CC4-5D6E-409C-BE32-E72D297353CC}">
              <c16:uniqueId val="{00000000-D5D8-4F22-865E-C7275D7B3C45}"/>
            </c:ext>
          </c:extLst>
        </c:ser>
        <c:dLbls>
          <c:showLegendKey val="0"/>
          <c:showVal val="0"/>
          <c:showCatName val="0"/>
          <c:showSerName val="0"/>
          <c:showPercent val="0"/>
          <c:showBubbleSize val="0"/>
        </c:dLbls>
        <c:gapWidth val="20"/>
        <c:axId val="2076280831"/>
        <c:axId val="2076265471"/>
      </c:barChart>
      <c:valAx>
        <c:axId val="2076265471"/>
        <c:scaling>
          <c:orientation val="minMax"/>
        </c:scaling>
        <c:delete val="1"/>
        <c:axPos val="t"/>
        <c:majorGridlines/>
        <c:numFmt formatCode="General" sourceLinked="1"/>
        <c:majorTickMark val="out"/>
        <c:minorTickMark val="none"/>
        <c:tickLblPos val="nextTo"/>
        <c:crossAx val="2076280831"/>
        <c:crosses val="autoZero"/>
        <c:crossBetween val="between"/>
      </c:valAx>
      <c:catAx>
        <c:axId val="2076280831"/>
        <c:scaling>
          <c:orientation val="maxMin"/>
        </c:scaling>
        <c:delete val="1"/>
        <c:axPos val="l"/>
        <c:numFmt formatCode="General" sourceLinked="1"/>
        <c:majorTickMark val="out"/>
        <c:minorTickMark val="none"/>
        <c:tickLblPos val="nextTo"/>
        <c:crossAx val="2076265471"/>
        <c:crosses val="autoZero"/>
        <c:auto val="1"/>
        <c:lblAlgn val="ctr"/>
        <c:lblOffset val="100"/>
        <c:noMultiLvlLbl val="0"/>
      </c:catAx>
    </c:plotArea>
    <c:plotVisOnly val="1"/>
    <c:dispBlanksAs val="gap"/>
    <c:showDLblsOverMax val="1"/>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3589294805270719E-2"/>
          <c:y val="5.9094976583073874E-2"/>
          <c:w val="0.91639375400498024"/>
          <c:h val="0.75933956312352335"/>
        </c:manualLayout>
      </c:layout>
      <c:radarChart>
        <c:radarStyle val="marker"/>
        <c:varyColors val="1"/>
        <c:ser>
          <c:idx val="0"/>
          <c:order val="0"/>
          <c:tx>
            <c:strRef>
              <c:f>'3.RESULTS'!$N$28</c:f>
              <c:strCache>
                <c:ptCount val="1"/>
                <c:pt idx="0">
                  <c:v> Global</c:v>
                </c:pt>
              </c:strCache>
            </c:strRef>
          </c:tx>
          <c:spPr>
            <a:ln w="63500">
              <a:solidFill>
                <a:srgbClr val="FFC000"/>
              </a:solidFill>
            </a:ln>
            <a:effectLst>
              <a:outerShdw blurRad="50800" dist="38100" dir="2700000" algn="tl" rotWithShape="0">
                <a:prstClr val="black">
                  <a:alpha val="40000"/>
                </a:prstClr>
              </a:outerShdw>
            </a:effectLst>
          </c:spPr>
          <c:marker>
            <c:symbol val="none"/>
          </c:marker>
          <c:cat>
            <c:strRef>
              <c:f>'3.RESULTS'!$M$29:$M$36</c:f>
              <c:strCache>
                <c:ptCount val="8"/>
                <c:pt idx="0">
                  <c:v> C1. Urban Cooling Potential</c:v>
                </c:pt>
                <c:pt idx="1">
                  <c:v> C2. Green/Blue Space Increase</c:v>
                </c:pt>
                <c:pt idx="2">
                  <c:v> C3. Vulnerable Groups Coverage</c:v>
                </c:pt>
                <c:pt idx="3">
                  <c:v> C4. Population Reached</c:v>
                </c:pt>
                <c:pt idx="4">
                  <c:v> C5. Implementation Cost</c:v>
                </c:pt>
                <c:pt idx="5">
                  <c:v> C6. Funding Availability</c:v>
                </c:pt>
                <c:pt idx="6">
                  <c:v> C7. Feasibility</c:v>
                </c:pt>
                <c:pt idx="7">
                  <c:v> C8. Time to Implement</c:v>
                </c:pt>
              </c:strCache>
            </c:strRef>
          </c:cat>
          <c:val>
            <c:numRef>
              <c:f>'3.RESULTS'!$N$29:$N$36</c:f>
              <c:numCache>
                <c:formatCode>0.00</c:formatCode>
                <c:ptCount val="8"/>
                <c:pt idx="0">
                  <c:v>5.6737588652482271</c:v>
                </c:pt>
                <c:pt idx="1">
                  <c:v>2.5709219858156027</c:v>
                </c:pt>
                <c:pt idx="2">
                  <c:v>25.265957446808514</c:v>
                </c:pt>
                <c:pt idx="3">
                  <c:v>25.443262411347519</c:v>
                </c:pt>
                <c:pt idx="4">
                  <c:v>31.826241134751772</c:v>
                </c:pt>
                <c:pt idx="5">
                  <c:v>22.606382978723406</c:v>
                </c:pt>
                <c:pt idx="6">
                  <c:v>32.535460992907801</c:v>
                </c:pt>
                <c:pt idx="7">
                  <c:v>33.156028368794324</c:v>
                </c:pt>
              </c:numCache>
            </c:numRef>
          </c:val>
          <c:extLst>
            <c:ext xmlns:c16="http://schemas.microsoft.com/office/drawing/2014/chart" uri="{C3380CC4-5D6E-409C-BE32-E72D297353CC}">
              <c16:uniqueId val="{00000000-6C34-4ABF-BB06-1BF962B94AB9}"/>
            </c:ext>
          </c:extLst>
        </c:ser>
        <c:ser>
          <c:idx val="1"/>
          <c:order val="1"/>
          <c:tx>
            <c:strRef>
              <c:f>'3.RESULTS'!$O$28</c:f>
              <c:strCache>
                <c:ptCount val="1"/>
                <c:pt idx="0">
                  <c:v> Top 20</c:v>
                </c:pt>
              </c:strCache>
            </c:strRef>
          </c:tx>
          <c:spPr>
            <a:ln w="63500">
              <a:solidFill>
                <a:schemeClr val="accent6">
                  <a:lumMod val="75000"/>
                </a:schemeClr>
              </a:solidFill>
            </a:ln>
            <a:effectLst>
              <a:outerShdw blurRad="50800" dist="38100" dir="2700000" algn="tl" rotWithShape="0">
                <a:prstClr val="black">
                  <a:alpha val="40000"/>
                </a:prstClr>
              </a:outerShdw>
            </a:effectLst>
          </c:spPr>
          <c:marker>
            <c:symbol val="none"/>
          </c:marker>
          <c:cat>
            <c:strRef>
              <c:f>'3.RESULTS'!$M$29:$M$36</c:f>
              <c:strCache>
                <c:ptCount val="8"/>
                <c:pt idx="0">
                  <c:v> C1. Urban Cooling Potential</c:v>
                </c:pt>
                <c:pt idx="1">
                  <c:v> C2. Green/Blue Space Increase</c:v>
                </c:pt>
                <c:pt idx="2">
                  <c:v> C3. Vulnerable Groups Coverage</c:v>
                </c:pt>
                <c:pt idx="3">
                  <c:v> C4. Population Reached</c:v>
                </c:pt>
                <c:pt idx="4">
                  <c:v> C5. Implementation Cost</c:v>
                </c:pt>
                <c:pt idx="5">
                  <c:v> C6. Funding Availability</c:v>
                </c:pt>
                <c:pt idx="6">
                  <c:v> C7. Feasibility</c:v>
                </c:pt>
                <c:pt idx="7">
                  <c:v> C8. Time to Implement</c:v>
                </c:pt>
              </c:strCache>
            </c:strRef>
          </c:cat>
          <c:val>
            <c:numRef>
              <c:f>'3.RESULTS'!$O$29:$O$36</c:f>
              <c:numCache>
                <c:formatCode>0.00</c:formatCode>
                <c:ptCount val="8"/>
                <c:pt idx="0">
                  <c:v>0.625</c:v>
                </c:pt>
                <c:pt idx="1">
                  <c:v>0</c:v>
                </c:pt>
                <c:pt idx="2">
                  <c:v>34.375</c:v>
                </c:pt>
                <c:pt idx="3">
                  <c:v>33.125</c:v>
                </c:pt>
                <c:pt idx="4">
                  <c:v>37.5</c:v>
                </c:pt>
                <c:pt idx="5">
                  <c:v>25</c:v>
                </c:pt>
                <c:pt idx="6">
                  <c:v>37.5</c:v>
                </c:pt>
                <c:pt idx="7">
                  <c:v>37.5</c:v>
                </c:pt>
              </c:numCache>
            </c:numRef>
          </c:val>
          <c:extLst>
            <c:ext xmlns:c16="http://schemas.microsoft.com/office/drawing/2014/chart" uri="{C3380CC4-5D6E-409C-BE32-E72D297353CC}">
              <c16:uniqueId val="{00000001-6C34-4ABF-BB06-1BF962B94AB9}"/>
            </c:ext>
          </c:extLst>
        </c:ser>
        <c:ser>
          <c:idx val="2"/>
          <c:order val="2"/>
          <c:tx>
            <c:strRef>
              <c:f>'3.RESULTS'!$P$28</c:f>
              <c:strCache>
                <c:ptCount val="1"/>
                <c:pt idx="0">
                  <c:v> Bottom 20</c:v>
                </c:pt>
              </c:strCache>
            </c:strRef>
          </c:tx>
          <c:spPr>
            <a:ln w="63500">
              <a:solidFill>
                <a:srgbClr val="C00000"/>
              </a:solidFill>
            </a:ln>
            <a:effectLst>
              <a:outerShdw blurRad="50800" dist="38100" dir="2700000" algn="tl" rotWithShape="0">
                <a:prstClr val="black">
                  <a:alpha val="40000"/>
                </a:prstClr>
              </a:outerShdw>
            </a:effectLst>
          </c:spPr>
          <c:marker>
            <c:symbol val="none"/>
          </c:marker>
          <c:dLbls>
            <c:dLbl>
              <c:idx val="0"/>
              <c:layout>
                <c:manualLayout>
                  <c:x val="-1.6963994706605356E-3"/>
                  <c:y val="-0.21795333427346286"/>
                </c:manualLayout>
              </c:layout>
              <c:tx>
                <c:rich>
                  <a:bodyPr/>
                  <a:lstStyle/>
                  <a:p>
                    <a:pPr>
                      <a:defRPr sz="1600" b="1"/>
                    </a:pPr>
                    <a:r>
                      <a:rPr lang="en-US" sz="1600" b="1"/>
                      <a:t>C1</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58B-4650-8FE6-6C5800BC14DC}"/>
                </c:ext>
              </c:extLst>
            </c:dLbl>
            <c:dLbl>
              <c:idx val="1"/>
              <c:layout>
                <c:manualLayout>
                  <c:x val="0.23236281535290076"/>
                  <c:y val="-0.20692374665599084"/>
                </c:manualLayout>
              </c:layout>
              <c:tx>
                <c:rich>
                  <a:bodyPr/>
                  <a:lstStyle/>
                  <a:p>
                    <a:pPr>
                      <a:defRPr sz="1600" b="1"/>
                    </a:pPr>
                    <a:r>
                      <a:rPr lang="en-US" sz="1600" b="1"/>
                      <a:t>C2</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8B-4650-8FE6-6C5800BC14DC}"/>
                </c:ext>
              </c:extLst>
            </c:dLbl>
            <c:dLbl>
              <c:idx val="2"/>
              <c:layout>
                <c:manualLayout>
                  <c:x val="0.34401617748110336"/>
                  <c:y val="-3.4954848355009166E-4"/>
                </c:manualLayout>
              </c:layout>
              <c:tx>
                <c:rich>
                  <a:bodyPr/>
                  <a:lstStyle/>
                  <a:p>
                    <a:pPr>
                      <a:defRPr sz="1600" b="1"/>
                    </a:pPr>
                    <a:r>
                      <a:rPr lang="en-US" sz="1600" b="1"/>
                      <a:t>C3</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8B-4650-8FE6-6C5800BC14DC}"/>
                </c:ext>
              </c:extLst>
            </c:dLbl>
            <c:dLbl>
              <c:idx val="3"/>
              <c:layout>
                <c:manualLayout>
                  <c:x val="0.13831168984163011"/>
                  <c:y val="0.11715119568313311"/>
                </c:manualLayout>
              </c:layout>
              <c:tx>
                <c:rich>
                  <a:bodyPr/>
                  <a:lstStyle/>
                  <a:p>
                    <a:pPr>
                      <a:defRPr sz="1600" b="1"/>
                    </a:pPr>
                    <a:r>
                      <a:rPr lang="en-US" sz="1600" b="1"/>
                      <a:t>C4</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8B-4650-8FE6-6C5800BC14DC}"/>
                </c:ext>
              </c:extLst>
            </c:dLbl>
            <c:dLbl>
              <c:idx val="4"/>
              <c:layout>
                <c:manualLayout>
                  <c:x val="1.60498238807494E-3"/>
                  <c:y val="0.13256230634213989"/>
                </c:manualLayout>
              </c:layout>
              <c:tx>
                <c:rich>
                  <a:bodyPr/>
                  <a:lstStyle/>
                  <a:p>
                    <a:pPr>
                      <a:defRPr sz="1600" b="1"/>
                    </a:pPr>
                    <a:r>
                      <a:rPr lang="en-US" sz="1600" b="1"/>
                      <a:t>C5</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8B-4650-8FE6-6C5800BC14DC}"/>
                </c:ext>
              </c:extLst>
            </c:dLbl>
            <c:dLbl>
              <c:idx val="5"/>
              <c:layout>
                <c:manualLayout>
                  <c:x val="-0.16338643368999706"/>
                  <c:y val="0.14204206280062487"/>
                </c:manualLayout>
              </c:layout>
              <c:tx>
                <c:rich>
                  <a:bodyPr wrap="square" lIns="38100" tIns="19050" rIns="38100" bIns="19050" anchor="ctr">
                    <a:spAutoFit/>
                  </a:bodyPr>
                  <a:lstStyle/>
                  <a:p>
                    <a:pPr>
                      <a:defRPr sz="1600" b="1"/>
                    </a:pPr>
                    <a:r>
                      <a:rPr lang="en-US" sz="1600"/>
                      <a:t>C6</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88A-4490-91EE-6009BD4507E3}"/>
                </c:ext>
              </c:extLst>
            </c:dLbl>
            <c:dLbl>
              <c:idx val="6"/>
              <c:layout>
                <c:manualLayout>
                  <c:x val="-0.14133897752663385"/>
                  <c:y val="0"/>
                </c:manualLayout>
              </c:layout>
              <c:tx>
                <c:rich>
                  <a:bodyPr wrap="square" lIns="38100" tIns="19050" rIns="38100" bIns="19050" anchor="ctr">
                    <a:spAutoFit/>
                  </a:bodyPr>
                  <a:lstStyle/>
                  <a:p>
                    <a:pPr>
                      <a:defRPr sz="1600" b="1"/>
                    </a:pPr>
                    <a:r>
                      <a:rPr lang="en-US" sz="1600"/>
                      <a:t>C7</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8A-4490-91EE-6009BD4507E3}"/>
                </c:ext>
              </c:extLst>
            </c:dLbl>
            <c:dLbl>
              <c:idx val="7"/>
              <c:layout>
                <c:manualLayout>
                  <c:x val="-8.6398115244920012E-2"/>
                  <c:y val="-7.5360022344236124E-2"/>
                </c:manualLayout>
              </c:layout>
              <c:tx>
                <c:rich>
                  <a:bodyPr wrap="square" lIns="38100" tIns="19050" rIns="38100" bIns="19050" anchor="ctr">
                    <a:spAutoFit/>
                  </a:bodyPr>
                  <a:lstStyle/>
                  <a:p>
                    <a:pPr>
                      <a:defRPr sz="1600" b="1"/>
                    </a:pPr>
                    <a:r>
                      <a:rPr lang="en-US" sz="1600"/>
                      <a:t>C8</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88A-4490-91EE-6009BD4507E3}"/>
                </c:ext>
              </c:extLst>
            </c:dLbl>
            <c:spPr>
              <a:noFill/>
              <a:ln>
                <a:noFill/>
              </a:ln>
              <a:effectLst/>
            </c:spPr>
            <c:txPr>
              <a:bodyPr wrap="square" lIns="38100" tIns="19050" rIns="38100" bIns="19050" anchor="ctr">
                <a:spAutoFit/>
              </a:bodyPr>
              <a:lstStyle/>
              <a:p>
                <a:pPr>
                  <a:defRPr sz="1200" b="1"/>
                </a:pPr>
                <a:endParaRPr lang="es-E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'3.RESULTS'!$M$29:$M$36</c:f>
              <c:strCache>
                <c:ptCount val="8"/>
                <c:pt idx="0">
                  <c:v> C1. Urban Cooling Potential</c:v>
                </c:pt>
                <c:pt idx="1">
                  <c:v> C2. Green/Blue Space Increase</c:v>
                </c:pt>
                <c:pt idx="2">
                  <c:v> C3. Vulnerable Groups Coverage</c:v>
                </c:pt>
                <c:pt idx="3">
                  <c:v> C4. Population Reached</c:v>
                </c:pt>
                <c:pt idx="4">
                  <c:v> C5. Implementation Cost</c:v>
                </c:pt>
                <c:pt idx="5">
                  <c:v> C6. Funding Availability</c:v>
                </c:pt>
                <c:pt idx="6">
                  <c:v> C7. Feasibility</c:v>
                </c:pt>
                <c:pt idx="7">
                  <c:v> C8. Time to Implement</c:v>
                </c:pt>
              </c:strCache>
            </c:strRef>
          </c:cat>
          <c:val>
            <c:numRef>
              <c:f>'3.RESULTS'!$P$29:$P$36</c:f>
              <c:numCache>
                <c:formatCode>0.00</c:formatCode>
                <c:ptCount val="8"/>
                <c:pt idx="0">
                  <c:v>12.5</c:v>
                </c:pt>
                <c:pt idx="1">
                  <c:v>7.5</c:v>
                </c:pt>
                <c:pt idx="2">
                  <c:v>11.875</c:v>
                </c:pt>
                <c:pt idx="3">
                  <c:v>18.125</c:v>
                </c:pt>
                <c:pt idx="4">
                  <c:v>21.25</c:v>
                </c:pt>
                <c:pt idx="5">
                  <c:v>15</c:v>
                </c:pt>
                <c:pt idx="6">
                  <c:v>21.875</c:v>
                </c:pt>
                <c:pt idx="7">
                  <c:v>23.125</c:v>
                </c:pt>
              </c:numCache>
            </c:numRef>
          </c:val>
          <c:extLst>
            <c:ext xmlns:c16="http://schemas.microsoft.com/office/drawing/2014/chart" uri="{C3380CC4-5D6E-409C-BE32-E72D297353CC}">
              <c16:uniqueId val="{00000002-6C34-4ABF-BB06-1BF962B94AB9}"/>
            </c:ext>
          </c:extLst>
        </c:ser>
        <c:dLbls>
          <c:showLegendKey val="0"/>
          <c:showVal val="0"/>
          <c:showCatName val="0"/>
          <c:showSerName val="0"/>
          <c:showPercent val="0"/>
          <c:showBubbleSize val="0"/>
        </c:dLbls>
        <c:axId val="10"/>
        <c:axId val="100"/>
      </c:radarChart>
      <c:catAx>
        <c:axId val="10"/>
        <c:scaling>
          <c:orientation val="minMax"/>
        </c:scaling>
        <c:delete val="1"/>
        <c:axPos val="b"/>
        <c:majorGridlines/>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0"/>
        <c:axPos val="l"/>
        <c:majorGridlines>
          <c:spPr>
            <a:ln>
              <a:prstDash val="dashDot"/>
            </a:ln>
          </c:spPr>
        </c:majorGridlines>
        <c:numFmt formatCode="0" sourceLinked="0"/>
        <c:majorTickMark val="out"/>
        <c:minorTickMark val="none"/>
        <c:tickLblPos val="nextTo"/>
        <c:spPr>
          <a:ln>
            <a:prstDash val="sysDot"/>
          </a:ln>
        </c:spPr>
        <c:txPr>
          <a:bodyPr/>
          <a:lstStyle/>
          <a:p>
            <a:pPr>
              <a:defRPr sz="1000">
                <a:solidFill>
                  <a:srgbClr val="002142"/>
                </a:solidFill>
              </a:defRPr>
            </a:pPr>
            <a:endParaRPr lang="es-ES"/>
          </a:p>
        </c:txPr>
        <c:crossAx val="10"/>
        <c:crosses val="autoZero"/>
        <c:crossBetween val="between"/>
      </c:valAx>
    </c:plotArea>
    <c:legend>
      <c:legendPos val="b"/>
      <c:layout>
        <c:manualLayout>
          <c:xMode val="edge"/>
          <c:yMode val="edge"/>
          <c:x val="0.27155711407893757"/>
          <c:y val="0.93726530437065481"/>
          <c:w val="0.45741922378077415"/>
          <c:h val="3.5360467835367886E-2"/>
        </c:manualLayout>
      </c:layout>
      <c:overlay val="1"/>
      <c:txPr>
        <a:bodyPr/>
        <a:lstStyle/>
        <a:p>
          <a:pPr>
            <a:defRPr sz="1200"/>
          </a:pPr>
          <a:endParaRPr lang="es-ES"/>
        </a:p>
      </c:txPr>
    </c:legend>
    <c:plotVisOnly val="1"/>
    <c:dispBlanksAs val="gap"/>
    <c:showDLblsOverMax val="1"/>
  </c:chart>
  <c:txPr>
    <a:bodyPr/>
    <a:lstStyle/>
    <a:p>
      <a:pPr>
        <a:defRPr sz="1050"/>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47953216374272E-2"/>
          <c:y val="3.2540523200368142E-3"/>
          <c:w val="0.91830409356725151"/>
          <c:h val="0.99023784303988971"/>
        </c:manualLayout>
      </c:layout>
      <c:barChart>
        <c:barDir val="bar"/>
        <c:grouping val="clustered"/>
        <c:varyColors val="0"/>
        <c:ser>
          <c:idx val="0"/>
          <c:order val="0"/>
          <c:spPr>
            <a:solidFill>
              <a:srgbClr val="0E4194"/>
            </a:solidFill>
            <a:ln>
              <a:prstDash val="solid"/>
            </a:ln>
            <a:effectLst>
              <a:outerShdw blurRad="50800" dist="38100" dir="2700000" algn="tl" rotWithShape="0">
                <a:prstClr val="black">
                  <a:alpha val="40000"/>
                </a:prstClr>
              </a:outerShdw>
            </a:effectLst>
          </c:spPr>
          <c:invertIfNegative val="0"/>
          <c:cat>
            <c:strRef>
              <c:f>'3.RESULTS'!$M$15:$M$25</c:f>
              <c:strCache>
                <c:ptCount val="11"/>
                <c:pt idx="0">
                  <c:v>Buildings and public facilities</c:v>
                </c:pt>
                <c:pt idx="1">
                  <c:v>Urban planning</c:v>
                </c:pt>
                <c:pt idx="2">
                  <c:v>Culture and Sports</c:v>
                </c:pt>
                <c:pt idx="3">
                  <c:v>Tourism</c:v>
                </c:pt>
                <c:pt idx="4">
                  <c:v>Occupational risks</c:v>
                </c:pt>
                <c:pt idx="5">
                  <c:v>Education</c:v>
                </c:pt>
                <c:pt idx="6">
                  <c:v>Social Services</c:v>
                </c:pt>
                <c:pt idx="7">
                  <c:v>Emergency Services and Police</c:v>
                </c:pt>
                <c:pt idx="8">
                  <c:v>Parks and gardens (Urban Green Infrastructure)</c:v>
                </c:pt>
                <c:pt idx="9">
                  <c:v>Transport</c:v>
                </c:pt>
                <c:pt idx="10">
                  <c:v>Coordination</c:v>
                </c:pt>
              </c:strCache>
            </c:strRef>
          </c:cat>
          <c:val>
            <c:numRef>
              <c:f>'3.RESULTS'!$N$15:$N$25</c:f>
              <c:numCache>
                <c:formatCode>General</c:formatCode>
                <c:ptCount val="11"/>
                <c:pt idx="0">
                  <c:v>37</c:v>
                </c:pt>
                <c:pt idx="1">
                  <c:v>20</c:v>
                </c:pt>
                <c:pt idx="2">
                  <c:v>25</c:v>
                </c:pt>
                <c:pt idx="3">
                  <c:v>9</c:v>
                </c:pt>
                <c:pt idx="4">
                  <c:v>16</c:v>
                </c:pt>
                <c:pt idx="5">
                  <c:v>31</c:v>
                </c:pt>
                <c:pt idx="6">
                  <c:v>32</c:v>
                </c:pt>
                <c:pt idx="7">
                  <c:v>11</c:v>
                </c:pt>
                <c:pt idx="8">
                  <c:v>17</c:v>
                </c:pt>
                <c:pt idx="9">
                  <c:v>5</c:v>
                </c:pt>
                <c:pt idx="10">
                  <c:v>24</c:v>
                </c:pt>
              </c:numCache>
            </c:numRef>
          </c:val>
          <c:extLst>
            <c:ext xmlns:c15="http://schemas.microsoft.com/office/drawing/2012/chart" uri="{02D57815-91ED-43cb-92C2-25804820EDAC}">
              <c15:filteredSeriesTitle>
                <c15:tx>
                  <c:strRef>
                    <c:extLst>
                      <c:ext uri="{02D57815-91ED-43cb-92C2-25804820EDAC}">
                        <c15:formulaRef>
                          <c15:sqref>'3.RESULTS'!#REF!</c15:sqref>
                        </c15:formulaRef>
                      </c:ext>
                    </c:extLst>
                    <c:strCache>
                      <c:ptCount val="1"/>
                      <c:pt idx="0">
                        <c:v>#¡REF!</c:v>
                      </c:pt>
                    </c:strCache>
                  </c:strRef>
                </c15:tx>
              </c15:filteredSeriesTitle>
            </c:ext>
            <c:ext xmlns:c16="http://schemas.microsoft.com/office/drawing/2014/chart" uri="{C3380CC4-5D6E-409C-BE32-E72D297353CC}">
              <c16:uniqueId val="{00000000-5603-46A7-B576-79D01ABF5CF4}"/>
            </c:ext>
          </c:extLst>
        </c:ser>
        <c:dLbls>
          <c:showLegendKey val="0"/>
          <c:showVal val="0"/>
          <c:showCatName val="0"/>
          <c:showSerName val="0"/>
          <c:showPercent val="0"/>
          <c:showBubbleSize val="0"/>
        </c:dLbls>
        <c:gapWidth val="20"/>
        <c:axId val="2076280831"/>
        <c:axId val="2076265471"/>
      </c:barChart>
      <c:valAx>
        <c:axId val="2076265471"/>
        <c:scaling>
          <c:orientation val="minMax"/>
        </c:scaling>
        <c:delete val="1"/>
        <c:axPos val="t"/>
        <c:majorGridlines/>
        <c:numFmt formatCode="General" sourceLinked="1"/>
        <c:majorTickMark val="out"/>
        <c:minorTickMark val="none"/>
        <c:tickLblPos val="nextTo"/>
        <c:crossAx val="2076280831"/>
        <c:crosses val="autoZero"/>
        <c:crossBetween val="between"/>
      </c:valAx>
      <c:catAx>
        <c:axId val="2076280831"/>
        <c:scaling>
          <c:orientation val="maxMin"/>
        </c:scaling>
        <c:delete val="1"/>
        <c:axPos val="l"/>
        <c:numFmt formatCode="General" sourceLinked="1"/>
        <c:majorTickMark val="out"/>
        <c:minorTickMark val="none"/>
        <c:tickLblPos val="nextTo"/>
        <c:crossAx val="2076265471"/>
        <c:crosses val="autoZero"/>
        <c:auto val="1"/>
        <c:lblAlgn val="ctr"/>
        <c:lblOffset val="100"/>
        <c:noMultiLvlLbl val="0"/>
      </c:catAx>
    </c:plotArea>
    <c:plotVisOnly val="1"/>
    <c:dispBlanksAs val="gap"/>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3589294805270719E-2"/>
          <c:y val="5.9094976583073874E-2"/>
          <c:w val="0.91639375400498024"/>
          <c:h val="0.75933956312352335"/>
        </c:manualLayout>
      </c:layout>
      <c:radarChart>
        <c:radarStyle val="marker"/>
        <c:varyColors val="1"/>
        <c:ser>
          <c:idx val="0"/>
          <c:order val="0"/>
          <c:tx>
            <c:strRef>
              <c:f>'3.RESULTS'!$N$61</c:f>
              <c:strCache>
                <c:ptCount val="1"/>
                <c:pt idx="0">
                  <c:v> Global</c:v>
                </c:pt>
              </c:strCache>
            </c:strRef>
          </c:tx>
          <c:spPr>
            <a:ln w="63500">
              <a:solidFill>
                <a:srgbClr val="FFC000"/>
              </a:solidFill>
            </a:ln>
            <a:effectLst>
              <a:outerShdw blurRad="50800" dist="38100" dir="2700000" algn="tl" rotWithShape="0">
                <a:prstClr val="black">
                  <a:alpha val="40000"/>
                </a:prstClr>
              </a:outerShdw>
            </a:effectLst>
          </c:spPr>
          <c:marker>
            <c:symbol val="none"/>
          </c:marker>
          <c:dLbls>
            <c:dLbl>
              <c:idx val="0"/>
              <c:layout>
                <c:manualLayout>
                  <c:x val="-7.3143292712588193E-17"/>
                  <c:y val="-0.29377190190621483"/>
                </c:manualLayout>
              </c:layout>
              <c:spPr>
                <a:noFill/>
                <a:ln>
                  <a:noFill/>
                </a:ln>
                <a:effectLst/>
              </c:spPr>
              <c:txPr>
                <a:bodyPr wrap="square" lIns="38100" tIns="19050" rIns="38100" bIns="19050" anchor="ctr">
                  <a:spAutoFit/>
                </a:bodyPr>
                <a:lstStyle/>
                <a:p>
                  <a:pPr>
                    <a:defRPr sz="1200" b="1"/>
                  </a:pPr>
                  <a:endParaRPr lang="es-E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3A-4C99-BE03-4CB6EB5FA858}"/>
                </c:ext>
              </c:extLst>
            </c:dLbl>
            <c:dLbl>
              <c:idx val="1"/>
              <c:layout>
                <c:manualLayout>
                  <c:x val="0.20746337230078105"/>
                  <c:y val="-4.601246656362401E-2"/>
                </c:manualLayout>
              </c:layout>
              <c:spPr>
                <a:noFill/>
                <a:ln>
                  <a:noFill/>
                </a:ln>
                <a:effectLst/>
              </c:spPr>
              <c:txPr>
                <a:bodyPr wrap="square" lIns="38100" tIns="19050" rIns="38100" bIns="19050" anchor="ctr">
                  <a:spAutoFit/>
                </a:bodyPr>
                <a:lstStyle/>
                <a:p>
                  <a:pPr>
                    <a:defRPr sz="1200" b="1"/>
                  </a:pPr>
                  <a:endParaRPr lang="es-E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3A-4C99-BE03-4CB6EB5FA858}"/>
                </c:ext>
              </c:extLst>
            </c:dLbl>
            <c:dLbl>
              <c:idx val="2"/>
              <c:layout>
                <c:manualLayout>
                  <c:x val="0"/>
                  <c:y val="5.3091307573412322E-2"/>
                </c:manualLayout>
              </c:layout>
              <c:spPr>
                <a:noFill/>
                <a:ln>
                  <a:noFill/>
                </a:ln>
                <a:effectLst/>
              </c:spPr>
              <c:txPr>
                <a:bodyPr wrap="square" lIns="38100" tIns="19050" rIns="38100" bIns="19050" anchor="ctr">
                  <a:spAutoFit/>
                </a:bodyPr>
                <a:lstStyle/>
                <a:p>
                  <a:pPr>
                    <a:defRPr sz="1200" b="1"/>
                  </a:pPr>
                  <a:endParaRPr lang="es-E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3A-4C99-BE03-4CB6EB5FA858}"/>
                </c:ext>
              </c:extLst>
            </c:dLbl>
            <c:dLbl>
              <c:idx val="3"/>
              <c:layout>
                <c:manualLayout>
                  <c:x val="0"/>
                  <c:y val="-4.601246656362401E-2"/>
                </c:manualLayout>
              </c:layout>
              <c:spPr>
                <a:noFill/>
                <a:ln>
                  <a:noFill/>
                </a:ln>
                <a:effectLst/>
              </c:spPr>
              <c:txPr>
                <a:bodyPr wrap="square" lIns="38100" tIns="19050" rIns="38100" bIns="19050" anchor="ctr">
                  <a:spAutoFit/>
                </a:bodyPr>
                <a:lstStyle/>
                <a:p>
                  <a:pPr>
                    <a:defRPr sz="1200" b="1"/>
                  </a:pPr>
                  <a:endParaRPr lang="es-E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3A-4C99-BE03-4CB6EB5FA858}"/>
                </c:ext>
              </c:extLst>
            </c:dLbl>
            <c:spPr>
              <a:noFill/>
              <a:ln>
                <a:noFill/>
              </a:ln>
              <a:effectLst/>
            </c:sp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'3.RESULTS'!$M$62:$M$65</c:f>
              <c:strCache>
                <c:ptCount val="4"/>
                <c:pt idx="0">
                  <c:v>Environmental</c:v>
                </c:pt>
                <c:pt idx="1">
                  <c:v>Social</c:v>
                </c:pt>
                <c:pt idx="2">
                  <c:v>Economic</c:v>
                </c:pt>
                <c:pt idx="3">
                  <c:v>Governance</c:v>
                </c:pt>
              </c:strCache>
            </c:strRef>
          </c:cat>
          <c:val>
            <c:numRef>
              <c:f>'3.RESULTS'!$N$62:$N$65</c:f>
              <c:numCache>
                <c:formatCode>0.00</c:formatCode>
                <c:ptCount val="4"/>
                <c:pt idx="0">
                  <c:v>8.2446808510638299</c:v>
                </c:pt>
                <c:pt idx="1">
                  <c:v>50.709219858156033</c:v>
                </c:pt>
                <c:pt idx="2">
                  <c:v>54.432624113475178</c:v>
                </c:pt>
                <c:pt idx="3">
                  <c:v>65.691489361702125</c:v>
                </c:pt>
              </c:numCache>
            </c:numRef>
          </c:val>
          <c:extLst>
            <c:ext xmlns:c16="http://schemas.microsoft.com/office/drawing/2014/chart" uri="{C3380CC4-5D6E-409C-BE32-E72D297353CC}">
              <c16:uniqueId val="{00000000-8A3A-4C99-BE03-4CB6EB5FA858}"/>
            </c:ext>
          </c:extLst>
        </c:ser>
        <c:ser>
          <c:idx val="1"/>
          <c:order val="1"/>
          <c:tx>
            <c:strRef>
              <c:f>'3.RESULTS'!$O$61</c:f>
              <c:strCache>
                <c:ptCount val="1"/>
                <c:pt idx="0">
                  <c:v> Top 20</c:v>
                </c:pt>
              </c:strCache>
            </c:strRef>
          </c:tx>
          <c:spPr>
            <a:ln w="63500">
              <a:solidFill>
                <a:schemeClr val="accent6">
                  <a:lumMod val="75000"/>
                </a:schemeClr>
              </a:solidFill>
            </a:ln>
            <a:effectLst>
              <a:outerShdw blurRad="50800" dist="38100" dir="2700000" algn="tl" rotWithShape="0">
                <a:prstClr val="black">
                  <a:alpha val="40000"/>
                </a:prstClr>
              </a:outerShdw>
            </a:effectLst>
          </c:spPr>
          <c:marker>
            <c:symbol val="none"/>
          </c:marker>
          <c:dLbls>
            <c:delete val="1"/>
          </c:dLbls>
          <c:cat>
            <c:strRef>
              <c:f>'3.RESULTS'!$M$62:$M$65</c:f>
              <c:strCache>
                <c:ptCount val="4"/>
                <c:pt idx="0">
                  <c:v>Environmental</c:v>
                </c:pt>
                <c:pt idx="1">
                  <c:v>Social</c:v>
                </c:pt>
                <c:pt idx="2">
                  <c:v>Economic</c:v>
                </c:pt>
                <c:pt idx="3">
                  <c:v>Governance</c:v>
                </c:pt>
              </c:strCache>
            </c:strRef>
          </c:cat>
          <c:val>
            <c:numRef>
              <c:f>'3.RESULTS'!$O$62:$O$65</c:f>
              <c:numCache>
                <c:formatCode>0.00</c:formatCode>
                <c:ptCount val="4"/>
                <c:pt idx="0">
                  <c:v>0.625</c:v>
                </c:pt>
                <c:pt idx="1">
                  <c:v>67.5</c:v>
                </c:pt>
                <c:pt idx="2">
                  <c:v>62.5</c:v>
                </c:pt>
                <c:pt idx="3">
                  <c:v>75</c:v>
                </c:pt>
              </c:numCache>
            </c:numRef>
          </c:val>
          <c:extLst>
            <c:ext xmlns:c16="http://schemas.microsoft.com/office/drawing/2014/chart" uri="{C3380CC4-5D6E-409C-BE32-E72D297353CC}">
              <c16:uniqueId val="{00000001-8A3A-4C99-BE03-4CB6EB5FA858}"/>
            </c:ext>
          </c:extLst>
        </c:ser>
        <c:ser>
          <c:idx val="2"/>
          <c:order val="2"/>
          <c:tx>
            <c:strRef>
              <c:f>'3.RESULTS'!$P$61</c:f>
              <c:strCache>
                <c:ptCount val="1"/>
                <c:pt idx="0">
                  <c:v> Bottom 20</c:v>
                </c:pt>
              </c:strCache>
            </c:strRef>
          </c:tx>
          <c:spPr>
            <a:ln w="66675">
              <a:solidFill>
                <a:srgbClr val="C00000"/>
              </a:solidFill>
            </a:ln>
            <a:effectLst>
              <a:outerShdw blurRad="50800" dist="38100" dir="2700000" algn="tl" rotWithShape="0">
                <a:prstClr val="black">
                  <a:alpha val="40000"/>
                </a:prstClr>
              </a:outerShdw>
            </a:effectLst>
          </c:spPr>
          <c:marker>
            <c:symbol val="none"/>
          </c:marker>
          <c:dLbls>
            <c:delete val="1"/>
          </c:dLbls>
          <c:cat>
            <c:strRef>
              <c:f>'3.RESULTS'!$M$62:$M$65</c:f>
              <c:strCache>
                <c:ptCount val="4"/>
                <c:pt idx="0">
                  <c:v>Environmental</c:v>
                </c:pt>
                <c:pt idx="1">
                  <c:v>Social</c:v>
                </c:pt>
                <c:pt idx="2">
                  <c:v>Economic</c:v>
                </c:pt>
                <c:pt idx="3">
                  <c:v>Governance</c:v>
                </c:pt>
              </c:strCache>
            </c:strRef>
          </c:cat>
          <c:val>
            <c:numRef>
              <c:f>'3.RESULTS'!$P$62:$P$65</c:f>
              <c:numCache>
                <c:formatCode>0.00</c:formatCode>
                <c:ptCount val="4"/>
                <c:pt idx="0">
                  <c:v>20</c:v>
                </c:pt>
                <c:pt idx="1">
                  <c:v>30</c:v>
                </c:pt>
                <c:pt idx="2">
                  <c:v>36.25</c:v>
                </c:pt>
                <c:pt idx="3">
                  <c:v>45</c:v>
                </c:pt>
              </c:numCache>
            </c:numRef>
          </c:val>
          <c:extLst>
            <c:ext xmlns:c16="http://schemas.microsoft.com/office/drawing/2014/chart" uri="{C3380CC4-5D6E-409C-BE32-E72D297353CC}">
              <c16:uniqueId val="{0000000A-8A3A-4C99-BE03-4CB6EB5FA858}"/>
            </c:ext>
          </c:extLst>
        </c:ser>
        <c:dLbls>
          <c:showLegendKey val="0"/>
          <c:showVal val="1"/>
          <c:showCatName val="0"/>
          <c:showSerName val="0"/>
          <c:showPercent val="0"/>
          <c:showBubbleSize val="0"/>
        </c:dLbls>
        <c:axId val="10"/>
        <c:axId val="100"/>
      </c:radarChart>
      <c:catAx>
        <c:axId val="10"/>
        <c:scaling>
          <c:orientation val="minMax"/>
        </c:scaling>
        <c:delete val="1"/>
        <c:axPos val="b"/>
        <c:majorGridlines/>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0"/>
        <c:axPos val="l"/>
        <c:majorGridlines>
          <c:spPr>
            <a:ln>
              <a:prstDash val="dashDot"/>
            </a:ln>
          </c:spPr>
        </c:majorGridlines>
        <c:numFmt formatCode="0" sourceLinked="0"/>
        <c:majorTickMark val="out"/>
        <c:minorTickMark val="none"/>
        <c:tickLblPos val="nextTo"/>
        <c:spPr>
          <a:ln>
            <a:prstDash val="sysDot"/>
          </a:ln>
        </c:spPr>
        <c:txPr>
          <a:bodyPr/>
          <a:lstStyle/>
          <a:p>
            <a:pPr>
              <a:defRPr sz="1000">
                <a:solidFill>
                  <a:srgbClr val="002142"/>
                </a:solidFill>
              </a:defRPr>
            </a:pPr>
            <a:endParaRPr lang="es-ES"/>
          </a:p>
        </c:txPr>
        <c:crossAx val="10"/>
        <c:crosses val="autoZero"/>
        <c:crossBetween val="between"/>
      </c:valAx>
    </c:plotArea>
    <c:legend>
      <c:legendPos val="b"/>
      <c:layout>
        <c:manualLayout>
          <c:xMode val="edge"/>
          <c:yMode val="edge"/>
          <c:x val="0.27155711407893757"/>
          <c:y val="0.93726530437065481"/>
          <c:w val="0.45741922378077415"/>
          <c:h val="3.5360467835367886E-2"/>
        </c:manualLayout>
      </c:layout>
      <c:overlay val="1"/>
      <c:txPr>
        <a:bodyPr/>
        <a:lstStyle/>
        <a:p>
          <a:pPr>
            <a:defRPr sz="1200"/>
          </a:pPr>
          <a:endParaRPr lang="es-ES"/>
        </a:p>
      </c:txPr>
    </c:legend>
    <c:plotVisOnly val="1"/>
    <c:dispBlanksAs val="gap"/>
    <c:showDLblsOverMax val="1"/>
  </c:chart>
  <c:txPr>
    <a:bodyPr/>
    <a:lstStyle/>
    <a:p>
      <a:pPr>
        <a:defRPr sz="1050"/>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2.WEIGHTS'!A1"/><Relationship Id="rId7" Type="http://schemas.openxmlformats.org/officeDocument/2006/relationships/hyperlink" Target="#'4.CATALOGUE_OF_MEASURES'!A1"/><Relationship Id="rId2" Type="http://schemas.openxmlformats.org/officeDocument/2006/relationships/image" Target="../media/image2.png"/><Relationship Id="rId1" Type="http://schemas.openxmlformats.org/officeDocument/2006/relationships/hyperlink" Target="#'0.COVER'!A1"/><Relationship Id="rId6" Type="http://schemas.openxmlformats.org/officeDocument/2006/relationships/image" Target="../media/image4.png"/><Relationship Id="rId11" Type="http://schemas.openxmlformats.org/officeDocument/2006/relationships/image" Target="../media/image7.jpeg"/><Relationship Id="rId5" Type="http://schemas.openxmlformats.org/officeDocument/2006/relationships/hyperlink" Target="#'3.RESULTS'!A1"/><Relationship Id="rId10" Type="http://schemas.openxmlformats.org/officeDocument/2006/relationships/image" Target="../media/image6.png"/><Relationship Id="rId4" Type="http://schemas.openxmlformats.org/officeDocument/2006/relationships/image" Target="../media/image3.png"/><Relationship Id="rId9" Type="http://schemas.openxmlformats.org/officeDocument/2006/relationships/hyperlink" Target="#'1.MUNICIPAL_PROFILE'!A1"/></Relationships>
</file>

<file path=xl/drawings/_rels/drawing3.xml.rels><?xml version="1.0" encoding="UTF-8" standalone="yes"?>
<Relationships xmlns="http://schemas.openxmlformats.org/package/2006/relationships"><Relationship Id="rId8" Type="http://schemas.openxmlformats.org/officeDocument/2006/relationships/hyperlink" Target="#'4.CATALOGUE_OF_MEASURES'!A1"/><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0.COVER'!A1"/><Relationship Id="rId1" Type="http://schemas.openxmlformats.org/officeDocument/2006/relationships/image" Target="../media/image8.jpeg"/><Relationship Id="rId6" Type="http://schemas.openxmlformats.org/officeDocument/2006/relationships/hyperlink" Target="#'3.RESULTS'!A1"/><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1.MUNICIPAL_PROFILE'!A1"/><Relationship Id="rId4" Type="http://schemas.openxmlformats.org/officeDocument/2006/relationships/hyperlink" Target="#'2.WEIGHTS'!A1"/><Relationship Id="rId9"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1.MUNICIPAL_PROFILE'!A1"/><Relationship Id="rId3" Type="http://schemas.openxmlformats.org/officeDocument/2006/relationships/chart" Target="../charts/chart3.xml"/><Relationship Id="rId7" Type="http://schemas.openxmlformats.org/officeDocument/2006/relationships/hyperlink" Target="#'2.WEIGHTS'!A1"/><Relationship Id="rId12"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hyperlink" Target="#'4.CATALOGUE_OF_MEASURES'!A1"/><Relationship Id="rId5" Type="http://schemas.openxmlformats.org/officeDocument/2006/relationships/hyperlink" Target="#'0.COVER'!A1"/><Relationship Id="rId15" Type="http://schemas.openxmlformats.org/officeDocument/2006/relationships/chart" Target="../charts/chart4.xml"/><Relationship Id="rId10" Type="http://schemas.openxmlformats.org/officeDocument/2006/relationships/image" Target="../media/image4.png"/><Relationship Id="rId4" Type="http://schemas.openxmlformats.org/officeDocument/2006/relationships/image" Target="../media/image9.jpeg"/><Relationship Id="rId9" Type="http://schemas.openxmlformats.org/officeDocument/2006/relationships/hyperlink" Target="#'3.RESULTS'!A1"/><Relationship Id="rId1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hyperlink" Target="#'4.CATALOGUE_OF_MEASURES'!A1"/><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0.COVER'!A1"/><Relationship Id="rId1" Type="http://schemas.openxmlformats.org/officeDocument/2006/relationships/image" Target="../media/image10.jpeg"/><Relationship Id="rId6" Type="http://schemas.openxmlformats.org/officeDocument/2006/relationships/hyperlink" Target="#'3.RESULTS'!A1"/><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1.MUNICIPAL_PROFILE'!A1"/><Relationship Id="rId4" Type="http://schemas.openxmlformats.org/officeDocument/2006/relationships/hyperlink" Target="#'2.WEIGHTS'!A1"/><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136396</xdr:colOff>
      <xdr:row>0</xdr:row>
      <xdr:rowOff>181655</xdr:rowOff>
    </xdr:from>
    <xdr:to>
      <xdr:col>8</xdr:col>
      <xdr:colOff>205740</xdr:colOff>
      <xdr:row>4</xdr:row>
      <xdr:rowOff>182150</xdr:rowOff>
    </xdr:to>
    <xdr:pic>
      <xdr:nvPicPr>
        <xdr:cNvPr id="2" name="Picture 1">
          <a:extLst>
            <a:ext uri="{FF2B5EF4-FFF2-40B4-BE49-F238E27FC236}">
              <a16:creationId xmlns:a16="http://schemas.microsoft.com/office/drawing/2014/main" id="{693E5401-E8DF-17CC-375A-E0873FC5FF65}"/>
            </a:ext>
          </a:extLst>
        </xdr:cNvPr>
        <xdr:cNvPicPr>
          <a:picLocks noChangeAspect="1"/>
        </xdr:cNvPicPr>
      </xdr:nvPicPr>
      <xdr:blipFill>
        <a:blip xmlns:r="http://schemas.openxmlformats.org/officeDocument/2006/relationships" r:embed="rId1"/>
        <a:stretch>
          <a:fillRect/>
        </a:stretch>
      </xdr:blipFill>
      <xdr:spPr>
        <a:xfrm>
          <a:off x="136396" y="181655"/>
          <a:ext cx="5342384" cy="732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4</xdr:row>
      <xdr:rowOff>11878</xdr:rowOff>
    </xdr:from>
    <xdr:to>
      <xdr:col>1</xdr:col>
      <xdr:colOff>4308</xdr:colOff>
      <xdr:row>22</xdr:row>
      <xdr:rowOff>26969</xdr:rowOff>
    </xdr:to>
    <xdr:grpSp>
      <xdr:nvGrpSpPr>
        <xdr:cNvPr id="4" name="Grupo 3">
          <a:extLst>
            <a:ext uri="{FF2B5EF4-FFF2-40B4-BE49-F238E27FC236}">
              <a16:creationId xmlns:a16="http://schemas.microsoft.com/office/drawing/2014/main" id="{AD3EFF89-C072-1BB6-FC1B-F6847FBB5EF4}"/>
            </a:ext>
          </a:extLst>
        </xdr:cNvPr>
        <xdr:cNvGrpSpPr/>
      </xdr:nvGrpSpPr>
      <xdr:grpSpPr>
        <a:xfrm>
          <a:off x="0" y="743398"/>
          <a:ext cx="735828" cy="3771751"/>
          <a:chOff x="0" y="748688"/>
          <a:chExt cx="733812" cy="3779811"/>
        </a:xfrm>
      </xdr:grpSpPr>
      <xdr:pic>
        <xdr:nvPicPr>
          <xdr:cNvPr id="26" name="Imagen 25">
            <a:hlinkClick xmlns:r="http://schemas.openxmlformats.org/officeDocument/2006/relationships" r:id="rId1"/>
            <a:extLst>
              <a:ext uri="{FF2B5EF4-FFF2-40B4-BE49-F238E27FC236}">
                <a16:creationId xmlns:a16="http://schemas.microsoft.com/office/drawing/2014/main" id="{2D91DB83-BB2F-6F08-F400-61AB687A8F14}"/>
              </a:ext>
            </a:extLst>
          </xdr:cNvPr>
          <xdr:cNvPicPr preferRelativeResize="0">
            <a:picLocks/>
          </xdr:cNvPicPr>
        </xdr:nvPicPr>
        <xdr:blipFill>
          <a:blip xmlns:r="http://schemas.openxmlformats.org/officeDocument/2006/relationships" r:embed="rId2"/>
          <a:stretch>
            <a:fillRect/>
          </a:stretch>
        </xdr:blipFill>
        <xdr:spPr>
          <a:xfrm>
            <a:off x="4555" y="758134"/>
            <a:ext cx="720269" cy="756315"/>
          </a:xfrm>
          <a:prstGeom prst="rect">
            <a:avLst/>
          </a:prstGeom>
          <a:ln>
            <a:noFill/>
          </a:ln>
        </xdr:spPr>
      </xdr:pic>
      <xdr:pic>
        <xdr:nvPicPr>
          <xdr:cNvPr id="27" name="Imagen 26">
            <a:hlinkClick xmlns:r="http://schemas.openxmlformats.org/officeDocument/2006/relationships" r:id="rId3"/>
            <a:extLst>
              <a:ext uri="{FF2B5EF4-FFF2-40B4-BE49-F238E27FC236}">
                <a16:creationId xmlns:a16="http://schemas.microsoft.com/office/drawing/2014/main" id="{B4567629-56B9-9DFD-189A-7A76D9F5291E}"/>
              </a:ext>
            </a:extLst>
          </xdr:cNvPr>
          <xdr:cNvPicPr preferRelativeResize="0">
            <a:picLocks/>
          </xdr:cNvPicPr>
        </xdr:nvPicPr>
        <xdr:blipFill>
          <a:blip xmlns:r="http://schemas.openxmlformats.org/officeDocument/2006/relationships" r:embed="rId4"/>
          <a:stretch>
            <a:fillRect/>
          </a:stretch>
        </xdr:blipFill>
        <xdr:spPr>
          <a:xfrm>
            <a:off x="6832" y="2261798"/>
            <a:ext cx="726537" cy="760960"/>
          </a:xfrm>
          <a:prstGeom prst="rect">
            <a:avLst/>
          </a:prstGeom>
          <a:ln>
            <a:noFill/>
          </a:ln>
        </xdr:spPr>
      </xdr:pic>
      <xdr:pic>
        <xdr:nvPicPr>
          <xdr:cNvPr id="28" name="Imagen 27">
            <a:hlinkClick xmlns:r="http://schemas.openxmlformats.org/officeDocument/2006/relationships" r:id="rId5"/>
            <a:extLst>
              <a:ext uri="{FF2B5EF4-FFF2-40B4-BE49-F238E27FC236}">
                <a16:creationId xmlns:a16="http://schemas.microsoft.com/office/drawing/2014/main" id="{3DD1F06D-250B-DACB-31B0-1E1868F22BE8}"/>
              </a:ext>
            </a:extLst>
          </xdr:cNvPr>
          <xdr:cNvPicPr preferRelativeResize="0">
            <a:picLocks/>
          </xdr:cNvPicPr>
        </xdr:nvPicPr>
        <xdr:blipFill>
          <a:blip xmlns:r="http://schemas.openxmlformats.org/officeDocument/2006/relationships" r:embed="rId6"/>
          <a:stretch>
            <a:fillRect/>
          </a:stretch>
        </xdr:blipFill>
        <xdr:spPr>
          <a:xfrm>
            <a:off x="6935" y="3018735"/>
            <a:ext cx="726537" cy="761036"/>
          </a:xfrm>
          <a:prstGeom prst="rect">
            <a:avLst/>
          </a:prstGeom>
        </xdr:spPr>
      </xdr:pic>
      <xdr:pic>
        <xdr:nvPicPr>
          <xdr:cNvPr id="29" name="Imagen 28">
            <a:hlinkClick xmlns:r="http://schemas.openxmlformats.org/officeDocument/2006/relationships" r:id="rId7"/>
            <a:extLst>
              <a:ext uri="{FF2B5EF4-FFF2-40B4-BE49-F238E27FC236}">
                <a16:creationId xmlns:a16="http://schemas.microsoft.com/office/drawing/2014/main" id="{AA8E77E7-C2AD-B736-90E1-C9E8D240E0BB}"/>
              </a:ext>
            </a:extLst>
          </xdr:cNvPr>
          <xdr:cNvPicPr preferRelativeResize="0">
            <a:picLocks/>
          </xdr:cNvPicPr>
        </xdr:nvPicPr>
        <xdr:blipFill>
          <a:blip xmlns:r="http://schemas.openxmlformats.org/officeDocument/2006/relationships" r:embed="rId8"/>
          <a:stretch>
            <a:fillRect/>
          </a:stretch>
        </xdr:blipFill>
        <xdr:spPr>
          <a:xfrm>
            <a:off x="6833" y="3769404"/>
            <a:ext cx="726537" cy="759095"/>
          </a:xfrm>
          <a:prstGeom prst="rect">
            <a:avLst/>
          </a:prstGeom>
        </xdr:spPr>
      </xdr:pic>
      <xdr:pic>
        <xdr:nvPicPr>
          <xdr:cNvPr id="30" name="Imagen 29">
            <a:hlinkClick xmlns:r="http://schemas.openxmlformats.org/officeDocument/2006/relationships" r:id="rId9"/>
            <a:extLst>
              <a:ext uri="{FF2B5EF4-FFF2-40B4-BE49-F238E27FC236}">
                <a16:creationId xmlns:a16="http://schemas.microsoft.com/office/drawing/2014/main" id="{52B4B2AC-67F5-8144-8408-DCE85C647081}"/>
              </a:ext>
            </a:extLst>
          </xdr:cNvPr>
          <xdr:cNvPicPr preferRelativeResize="0">
            <a:picLocks/>
          </xdr:cNvPicPr>
        </xdr:nvPicPr>
        <xdr:blipFill>
          <a:blip xmlns:r="http://schemas.openxmlformats.org/officeDocument/2006/relationships" r:embed="rId10"/>
          <a:stretch>
            <a:fillRect/>
          </a:stretch>
        </xdr:blipFill>
        <xdr:spPr>
          <a:xfrm>
            <a:off x="0" y="1512829"/>
            <a:ext cx="733812" cy="755959"/>
          </a:xfrm>
          <a:prstGeom prst="rect">
            <a:avLst/>
          </a:prstGeom>
          <a:ln>
            <a:noFill/>
          </a:ln>
        </xdr:spPr>
      </xdr:pic>
    </xdr:grpSp>
    <xdr:clientData/>
  </xdr:twoCellAnchor>
  <xdr:twoCellAnchor editAs="oneCell">
    <xdr:from>
      <xdr:col>2</xdr:col>
      <xdr:colOff>0</xdr:colOff>
      <xdr:row>0</xdr:row>
      <xdr:rowOff>183776</xdr:rowOff>
    </xdr:from>
    <xdr:to>
      <xdr:col>5</xdr:col>
      <xdr:colOff>1203532</xdr:colOff>
      <xdr:row>4</xdr:row>
      <xdr:rowOff>8965</xdr:rowOff>
    </xdr:to>
    <xdr:pic>
      <xdr:nvPicPr>
        <xdr:cNvPr id="32" name="Imagen 31">
          <a:extLst>
            <a:ext uri="{FF2B5EF4-FFF2-40B4-BE49-F238E27FC236}">
              <a16:creationId xmlns:a16="http://schemas.microsoft.com/office/drawing/2014/main" id="{7C3E72C3-B7D0-4EC8-99D4-3CF6886D36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8541" y="183776"/>
          <a:ext cx="4045344" cy="560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1596545</xdr:colOff>
      <xdr:row>4</xdr:row>
      <xdr:rowOff>1243</xdr:rowOff>
    </xdr:to>
    <xdr:pic>
      <xdr:nvPicPr>
        <xdr:cNvPr id="16" name="Imagen 15">
          <a:extLst>
            <a:ext uri="{FF2B5EF4-FFF2-40B4-BE49-F238E27FC236}">
              <a16:creationId xmlns:a16="http://schemas.microsoft.com/office/drawing/2014/main" id="{FC3BB852-20E9-4DC0-8750-82F0881641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957" y="183931"/>
          <a:ext cx="4102320" cy="559180"/>
        </a:xfrm>
        <a:prstGeom prst="rect">
          <a:avLst/>
        </a:prstGeom>
      </xdr:spPr>
    </xdr:pic>
    <xdr:clientData/>
  </xdr:twoCellAnchor>
  <xdr:twoCellAnchor editAs="absolute">
    <xdr:from>
      <xdr:col>0</xdr:col>
      <xdr:colOff>0</xdr:colOff>
      <xdr:row>4</xdr:row>
      <xdr:rowOff>65182</xdr:rowOff>
    </xdr:from>
    <xdr:to>
      <xdr:col>1</xdr:col>
      <xdr:colOff>4244</xdr:colOff>
      <xdr:row>15</xdr:row>
      <xdr:rowOff>104279</xdr:rowOff>
    </xdr:to>
    <xdr:grpSp>
      <xdr:nvGrpSpPr>
        <xdr:cNvPr id="2" name="Grupo 1">
          <a:extLst>
            <a:ext uri="{FF2B5EF4-FFF2-40B4-BE49-F238E27FC236}">
              <a16:creationId xmlns:a16="http://schemas.microsoft.com/office/drawing/2014/main" id="{B9916778-42A6-4855-9DCC-D3DE1A7FD602}"/>
            </a:ext>
          </a:extLst>
        </xdr:cNvPr>
        <xdr:cNvGrpSpPr/>
      </xdr:nvGrpSpPr>
      <xdr:grpSpPr>
        <a:xfrm>
          <a:off x="0" y="796702"/>
          <a:ext cx="735764" cy="3711937"/>
          <a:chOff x="0" y="735900"/>
          <a:chExt cx="734198" cy="3633976"/>
        </a:xfrm>
      </xdr:grpSpPr>
      <xdr:pic>
        <xdr:nvPicPr>
          <xdr:cNvPr id="24" name="Imagen 23">
            <a:hlinkClick xmlns:r="http://schemas.openxmlformats.org/officeDocument/2006/relationships" r:id="rId2"/>
            <a:extLst>
              <a:ext uri="{FF2B5EF4-FFF2-40B4-BE49-F238E27FC236}">
                <a16:creationId xmlns:a16="http://schemas.microsoft.com/office/drawing/2014/main" id="{1F52F2CA-8E27-2FD7-3246-F1C2684D4D32}"/>
              </a:ext>
            </a:extLst>
          </xdr:cNvPr>
          <xdr:cNvPicPr preferRelativeResize="0">
            <a:picLocks/>
          </xdr:cNvPicPr>
        </xdr:nvPicPr>
        <xdr:blipFill>
          <a:blip xmlns:r="http://schemas.openxmlformats.org/officeDocument/2006/relationships" r:embed="rId3"/>
          <a:stretch>
            <a:fillRect/>
          </a:stretch>
        </xdr:blipFill>
        <xdr:spPr>
          <a:xfrm>
            <a:off x="7652" y="683241"/>
            <a:ext cx="720269" cy="740445"/>
          </a:xfrm>
          <a:prstGeom prst="rect">
            <a:avLst/>
          </a:prstGeom>
          <a:ln>
            <a:noFill/>
          </a:ln>
        </xdr:spPr>
      </xdr:pic>
      <xdr:pic>
        <xdr:nvPicPr>
          <xdr:cNvPr id="25" name="Imagen 24">
            <a:hlinkClick xmlns:r="http://schemas.openxmlformats.org/officeDocument/2006/relationships" r:id="rId4"/>
            <a:extLst>
              <a:ext uri="{FF2B5EF4-FFF2-40B4-BE49-F238E27FC236}">
                <a16:creationId xmlns:a16="http://schemas.microsoft.com/office/drawing/2014/main" id="{04B6ADB7-7A81-FF23-1C44-6DAA9E7E2E0B}"/>
              </a:ext>
            </a:extLst>
          </xdr:cNvPr>
          <xdr:cNvPicPr preferRelativeResize="0">
            <a:picLocks/>
          </xdr:cNvPicPr>
        </xdr:nvPicPr>
        <xdr:blipFill>
          <a:blip xmlns:r="http://schemas.openxmlformats.org/officeDocument/2006/relationships" r:embed="rId5"/>
          <a:stretch>
            <a:fillRect/>
          </a:stretch>
        </xdr:blipFill>
        <xdr:spPr>
          <a:xfrm>
            <a:off x="14607" y="2179231"/>
            <a:ext cx="727074" cy="756000"/>
          </a:xfrm>
          <a:prstGeom prst="rect">
            <a:avLst/>
          </a:prstGeom>
          <a:ln>
            <a:noFill/>
          </a:ln>
        </xdr:spPr>
      </xdr:pic>
      <xdr:pic>
        <xdr:nvPicPr>
          <xdr:cNvPr id="26" name="Imagen 25">
            <a:hlinkClick xmlns:r="http://schemas.openxmlformats.org/officeDocument/2006/relationships" r:id="rId6"/>
            <a:extLst>
              <a:ext uri="{FF2B5EF4-FFF2-40B4-BE49-F238E27FC236}">
                <a16:creationId xmlns:a16="http://schemas.microsoft.com/office/drawing/2014/main" id="{E1E95076-75E2-1C63-470A-4A6BA6E0F741}"/>
              </a:ext>
            </a:extLst>
          </xdr:cNvPr>
          <xdr:cNvPicPr preferRelativeResize="0">
            <a:picLocks/>
          </xdr:cNvPicPr>
        </xdr:nvPicPr>
        <xdr:blipFill>
          <a:blip xmlns:r="http://schemas.openxmlformats.org/officeDocument/2006/relationships" r:embed="rId7"/>
          <a:stretch>
            <a:fillRect/>
          </a:stretch>
        </xdr:blipFill>
        <xdr:spPr>
          <a:xfrm>
            <a:off x="6934" y="2919602"/>
            <a:ext cx="733778" cy="763332"/>
          </a:xfrm>
          <a:prstGeom prst="rect">
            <a:avLst/>
          </a:prstGeom>
        </xdr:spPr>
      </xdr:pic>
      <xdr:pic>
        <xdr:nvPicPr>
          <xdr:cNvPr id="27" name="Imagen 26">
            <a:hlinkClick xmlns:r="http://schemas.openxmlformats.org/officeDocument/2006/relationships" r:id="rId8"/>
            <a:extLst>
              <a:ext uri="{FF2B5EF4-FFF2-40B4-BE49-F238E27FC236}">
                <a16:creationId xmlns:a16="http://schemas.microsoft.com/office/drawing/2014/main" id="{DFADF56D-0322-3E4C-166C-B9728A6BAEB3}"/>
              </a:ext>
            </a:extLst>
          </xdr:cNvPr>
          <xdr:cNvPicPr preferRelativeResize="0">
            <a:picLocks/>
          </xdr:cNvPicPr>
        </xdr:nvPicPr>
        <xdr:blipFill>
          <a:blip xmlns:r="http://schemas.openxmlformats.org/officeDocument/2006/relationships" r:embed="rId9"/>
          <a:stretch>
            <a:fillRect/>
          </a:stretch>
        </xdr:blipFill>
        <xdr:spPr>
          <a:xfrm>
            <a:off x="6832" y="3674304"/>
            <a:ext cx="733778" cy="759733"/>
          </a:xfrm>
          <a:prstGeom prst="rect">
            <a:avLst/>
          </a:prstGeom>
        </xdr:spPr>
      </xdr:pic>
      <xdr:pic>
        <xdr:nvPicPr>
          <xdr:cNvPr id="28" name="Imagen 27">
            <a:hlinkClick xmlns:r="http://schemas.openxmlformats.org/officeDocument/2006/relationships" r:id="rId10"/>
            <a:extLst>
              <a:ext uri="{FF2B5EF4-FFF2-40B4-BE49-F238E27FC236}">
                <a16:creationId xmlns:a16="http://schemas.microsoft.com/office/drawing/2014/main" id="{7CF9D0B3-9C97-CFA9-5851-508EF0325E05}"/>
              </a:ext>
            </a:extLst>
          </xdr:cNvPr>
          <xdr:cNvPicPr preferRelativeResize="0">
            <a:picLocks/>
          </xdr:cNvPicPr>
        </xdr:nvPicPr>
        <xdr:blipFill>
          <a:blip xmlns:r="http://schemas.openxmlformats.org/officeDocument/2006/relationships" r:embed="rId11"/>
          <a:stretch>
            <a:fillRect/>
          </a:stretch>
        </xdr:blipFill>
        <xdr:spPr>
          <a:xfrm>
            <a:off x="7776" y="1421772"/>
            <a:ext cx="734198" cy="766876"/>
          </a:xfrm>
          <a:prstGeom prst="rect">
            <a:avLst/>
          </a:prstGeom>
          <a:ln>
            <a:noFill/>
          </a:ln>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13</xdr:col>
      <xdr:colOff>728215</xdr:colOff>
      <xdr:row>9</xdr:row>
      <xdr:rowOff>7431</xdr:rowOff>
    </xdr:from>
    <xdr:to>
      <xdr:col>16</xdr:col>
      <xdr:colOff>2028633</xdr:colOff>
      <xdr:row>12</xdr:row>
      <xdr:rowOff>10382</xdr:rowOff>
    </xdr:to>
    <xdr:graphicFrame macro="">
      <xdr:nvGraphicFramePr>
        <xdr:cNvPr id="3" name="Chart 1">
          <a:extLst>
            <a:ext uri="{FF2B5EF4-FFF2-40B4-BE49-F238E27FC236}">
              <a16:creationId xmlns:a16="http://schemas.microsoft.com/office/drawing/2014/main" id="{CD3786E1-2265-4E13-9108-FBD7AEE7F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199157</xdr:colOff>
      <xdr:row>37</xdr:row>
      <xdr:rowOff>154124</xdr:rowOff>
    </xdr:from>
    <xdr:to>
      <xdr:col>16</xdr:col>
      <xdr:colOff>2024062</xdr:colOff>
      <xdr:row>57</xdr:row>
      <xdr:rowOff>320040</xdr:rowOff>
    </xdr:to>
    <xdr:graphicFrame macro="">
      <xdr:nvGraphicFramePr>
        <xdr:cNvPr id="7" name="Chart 3">
          <a:extLst>
            <a:ext uri="{FF2B5EF4-FFF2-40B4-BE49-F238E27FC236}">
              <a16:creationId xmlns:a16="http://schemas.microsoft.com/office/drawing/2014/main" id="{C2030B11-C522-4D63-BD8C-50F4D45A4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14</xdr:col>
      <xdr:colOff>10850</xdr:colOff>
      <xdr:row>14</xdr:row>
      <xdr:rowOff>2212</xdr:rowOff>
    </xdr:from>
    <xdr:to>
      <xdr:col>16</xdr:col>
      <xdr:colOff>2033270</xdr:colOff>
      <xdr:row>25</xdr:row>
      <xdr:rowOff>6349</xdr:rowOff>
    </xdr:to>
    <xdr:graphicFrame macro="">
      <xdr:nvGraphicFramePr>
        <xdr:cNvPr id="13" name="Chart 1">
          <a:extLst>
            <a:ext uri="{FF2B5EF4-FFF2-40B4-BE49-F238E27FC236}">
              <a16:creationId xmlns:a16="http://schemas.microsoft.com/office/drawing/2014/main" id="{1877EBE1-9BB0-49A2-ADC4-FBC8A3A61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1</xdr:row>
      <xdr:rowOff>2</xdr:rowOff>
    </xdr:from>
    <xdr:to>
      <xdr:col>6</xdr:col>
      <xdr:colOff>166947</xdr:colOff>
      <xdr:row>4</xdr:row>
      <xdr:rowOff>0</xdr:rowOff>
    </xdr:to>
    <xdr:pic>
      <xdr:nvPicPr>
        <xdr:cNvPr id="4" name="Imagen 3">
          <a:extLst>
            <a:ext uri="{FF2B5EF4-FFF2-40B4-BE49-F238E27FC236}">
              <a16:creationId xmlns:a16="http://schemas.microsoft.com/office/drawing/2014/main" id="{A91CDCDE-9D10-491C-8614-BE5C4431B2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8378" y="182882"/>
          <a:ext cx="4031673" cy="551622"/>
        </a:xfrm>
        <a:prstGeom prst="rect">
          <a:avLst/>
        </a:prstGeom>
      </xdr:spPr>
    </xdr:pic>
    <xdr:clientData/>
  </xdr:twoCellAnchor>
  <xdr:twoCellAnchor editAs="absolute">
    <xdr:from>
      <xdr:col>0</xdr:col>
      <xdr:colOff>0</xdr:colOff>
      <xdr:row>4</xdr:row>
      <xdr:rowOff>10523</xdr:rowOff>
    </xdr:from>
    <xdr:to>
      <xdr:col>1</xdr:col>
      <xdr:colOff>10346</xdr:colOff>
      <xdr:row>16</xdr:row>
      <xdr:rowOff>19915</xdr:rowOff>
    </xdr:to>
    <xdr:grpSp>
      <xdr:nvGrpSpPr>
        <xdr:cNvPr id="8" name="Grupo 7">
          <a:extLst>
            <a:ext uri="{FF2B5EF4-FFF2-40B4-BE49-F238E27FC236}">
              <a16:creationId xmlns:a16="http://schemas.microsoft.com/office/drawing/2014/main" id="{FCDBCDCA-239C-3B0C-7757-C216C9EF658B}"/>
            </a:ext>
          </a:extLst>
        </xdr:cNvPr>
        <xdr:cNvGrpSpPr/>
      </xdr:nvGrpSpPr>
      <xdr:grpSpPr>
        <a:xfrm>
          <a:off x="0" y="742043"/>
          <a:ext cx="741866" cy="3773672"/>
          <a:chOff x="0" y="746449"/>
          <a:chExt cx="735177" cy="3783262"/>
        </a:xfrm>
      </xdr:grpSpPr>
      <xdr:pic>
        <xdr:nvPicPr>
          <xdr:cNvPr id="18" name="Imagen 17">
            <a:hlinkClick xmlns:r="http://schemas.openxmlformats.org/officeDocument/2006/relationships" r:id="rId5"/>
            <a:extLst>
              <a:ext uri="{FF2B5EF4-FFF2-40B4-BE49-F238E27FC236}">
                <a16:creationId xmlns:a16="http://schemas.microsoft.com/office/drawing/2014/main" id="{7C240601-B77F-FCCA-F53C-C863DBAD98EB}"/>
              </a:ext>
            </a:extLst>
          </xdr:cNvPr>
          <xdr:cNvPicPr preferRelativeResize="0">
            <a:picLocks/>
          </xdr:cNvPicPr>
        </xdr:nvPicPr>
        <xdr:blipFill>
          <a:blip xmlns:r="http://schemas.openxmlformats.org/officeDocument/2006/relationships" r:embed="rId6"/>
          <a:stretch>
            <a:fillRect/>
          </a:stretch>
        </xdr:blipFill>
        <xdr:spPr>
          <a:xfrm>
            <a:off x="4562" y="756972"/>
            <a:ext cx="721311" cy="761892"/>
          </a:xfrm>
          <a:prstGeom prst="rect">
            <a:avLst/>
          </a:prstGeom>
          <a:ln>
            <a:noFill/>
          </a:ln>
        </xdr:spPr>
      </xdr:pic>
      <xdr:pic>
        <xdr:nvPicPr>
          <xdr:cNvPr id="19" name="Imagen 18">
            <a:hlinkClick xmlns:r="http://schemas.openxmlformats.org/officeDocument/2006/relationships" r:id="rId7"/>
            <a:extLst>
              <a:ext uri="{FF2B5EF4-FFF2-40B4-BE49-F238E27FC236}">
                <a16:creationId xmlns:a16="http://schemas.microsoft.com/office/drawing/2014/main" id="{C5B9F103-53AB-80D6-98BF-938E78E62823}"/>
              </a:ext>
            </a:extLst>
          </xdr:cNvPr>
          <xdr:cNvPicPr preferRelativeResize="0">
            <a:picLocks/>
          </xdr:cNvPicPr>
        </xdr:nvPicPr>
        <xdr:blipFill>
          <a:blip xmlns:r="http://schemas.openxmlformats.org/officeDocument/2006/relationships" r:embed="rId8"/>
          <a:stretch>
            <a:fillRect/>
          </a:stretch>
        </xdr:blipFill>
        <xdr:spPr>
          <a:xfrm>
            <a:off x="6843" y="2264944"/>
            <a:ext cx="734400" cy="759600"/>
          </a:xfrm>
          <a:prstGeom prst="rect">
            <a:avLst/>
          </a:prstGeom>
          <a:ln>
            <a:noFill/>
          </a:ln>
        </xdr:spPr>
      </xdr:pic>
      <xdr:pic>
        <xdr:nvPicPr>
          <xdr:cNvPr id="20" name="Imagen 19">
            <a:hlinkClick xmlns:r="http://schemas.openxmlformats.org/officeDocument/2006/relationships" r:id="rId9"/>
            <a:extLst>
              <a:ext uri="{FF2B5EF4-FFF2-40B4-BE49-F238E27FC236}">
                <a16:creationId xmlns:a16="http://schemas.microsoft.com/office/drawing/2014/main" id="{09032AD5-5B02-9912-F1FF-82F94A6A5FBE}"/>
              </a:ext>
            </a:extLst>
          </xdr:cNvPr>
          <xdr:cNvPicPr preferRelativeResize="0">
            <a:picLocks/>
          </xdr:cNvPicPr>
        </xdr:nvPicPr>
        <xdr:blipFill>
          <a:blip xmlns:r="http://schemas.openxmlformats.org/officeDocument/2006/relationships" r:embed="rId10"/>
          <a:stretch>
            <a:fillRect/>
          </a:stretch>
        </xdr:blipFill>
        <xdr:spPr>
          <a:xfrm>
            <a:off x="6948" y="3022621"/>
            <a:ext cx="727889" cy="760022"/>
          </a:xfrm>
          <a:prstGeom prst="rect">
            <a:avLst/>
          </a:prstGeom>
        </xdr:spPr>
      </xdr:pic>
      <xdr:pic>
        <xdr:nvPicPr>
          <xdr:cNvPr id="21" name="Imagen 20">
            <a:hlinkClick xmlns:r="http://schemas.openxmlformats.org/officeDocument/2006/relationships" r:id="rId11"/>
            <a:extLst>
              <a:ext uri="{FF2B5EF4-FFF2-40B4-BE49-F238E27FC236}">
                <a16:creationId xmlns:a16="http://schemas.microsoft.com/office/drawing/2014/main" id="{8387DD5E-3A0B-88FB-3902-206DC40E2616}"/>
              </a:ext>
            </a:extLst>
          </xdr:cNvPr>
          <xdr:cNvPicPr preferRelativeResize="0">
            <a:picLocks/>
          </xdr:cNvPicPr>
        </xdr:nvPicPr>
        <xdr:blipFill>
          <a:blip xmlns:r="http://schemas.openxmlformats.org/officeDocument/2006/relationships" r:embed="rId12"/>
          <a:stretch>
            <a:fillRect/>
          </a:stretch>
        </xdr:blipFill>
        <xdr:spPr>
          <a:xfrm>
            <a:off x="6844" y="3772238"/>
            <a:ext cx="734400" cy="757473"/>
          </a:xfrm>
          <a:prstGeom prst="rect">
            <a:avLst/>
          </a:prstGeom>
        </xdr:spPr>
      </xdr:pic>
      <xdr:pic>
        <xdr:nvPicPr>
          <xdr:cNvPr id="22" name="Imagen 21">
            <a:hlinkClick xmlns:r="http://schemas.openxmlformats.org/officeDocument/2006/relationships" r:id="rId13"/>
            <a:extLst>
              <a:ext uri="{FF2B5EF4-FFF2-40B4-BE49-F238E27FC236}">
                <a16:creationId xmlns:a16="http://schemas.microsoft.com/office/drawing/2014/main" id="{95A2A100-EA27-6578-C2ED-11A703A63C61}"/>
              </a:ext>
            </a:extLst>
          </xdr:cNvPr>
          <xdr:cNvPicPr preferRelativeResize="0">
            <a:picLocks/>
          </xdr:cNvPicPr>
        </xdr:nvPicPr>
        <xdr:blipFill>
          <a:blip xmlns:r="http://schemas.openxmlformats.org/officeDocument/2006/relationships" r:embed="rId14"/>
          <a:stretch>
            <a:fillRect/>
          </a:stretch>
        </xdr:blipFill>
        <xdr:spPr>
          <a:xfrm>
            <a:off x="0" y="1512584"/>
            <a:ext cx="735177" cy="759376"/>
          </a:xfrm>
          <a:prstGeom prst="rect">
            <a:avLst/>
          </a:prstGeom>
          <a:ln>
            <a:noFill/>
          </a:ln>
        </xdr:spPr>
      </xdr:pic>
    </xdr:grpSp>
    <xdr:clientData/>
  </xdr:twoCellAnchor>
  <xdr:twoCellAnchor editAs="absolute">
    <xdr:from>
      <xdr:col>11</xdr:col>
      <xdr:colOff>213220</xdr:colOff>
      <xdr:row>66</xdr:row>
      <xdr:rowOff>160020</xdr:rowOff>
    </xdr:from>
    <xdr:to>
      <xdr:col>17</xdr:col>
      <xdr:colOff>3725</xdr:colOff>
      <xdr:row>86</xdr:row>
      <xdr:rowOff>325936</xdr:rowOff>
    </xdr:to>
    <xdr:graphicFrame macro="">
      <xdr:nvGraphicFramePr>
        <xdr:cNvPr id="2" name="Chart 3">
          <a:extLst>
            <a:ext uri="{FF2B5EF4-FFF2-40B4-BE49-F238E27FC236}">
              <a16:creationId xmlns:a16="http://schemas.microsoft.com/office/drawing/2014/main" id="{B740BF6C-3435-4967-994A-460CB5CDE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0</xdr:colOff>
      <xdr:row>6</xdr:row>
      <xdr:rowOff>53842</xdr:rowOff>
    </xdr:from>
    <xdr:to>
      <xdr:col>8</xdr:col>
      <xdr:colOff>1342191</xdr:colOff>
      <xdr:row>15</xdr:row>
      <xdr:rowOff>126327</xdr:rowOff>
    </xdr:to>
    <mc:AlternateContent xmlns:mc="http://schemas.openxmlformats.org/markup-compatibility/2006" xmlns:sle15="http://schemas.microsoft.com/office/drawing/2012/slicer">
      <mc:Choice Requires="sle15">
        <xdr:graphicFrame macro="">
          <xdr:nvGraphicFramePr>
            <xdr:cNvPr id="8" name="TYPE OF MEASURE">
              <a:extLst>
                <a:ext uri="{FF2B5EF4-FFF2-40B4-BE49-F238E27FC236}">
                  <a16:creationId xmlns:a16="http://schemas.microsoft.com/office/drawing/2014/main" id="{8E74E0BE-A2A4-A86C-B70B-3FF5BA58D7FF}"/>
                </a:ext>
              </a:extLst>
            </xdr:cNvPr>
            <xdr:cNvGraphicFramePr/>
          </xdr:nvGraphicFramePr>
          <xdr:xfrm>
            <a:off x="0" y="0"/>
            <a:ext cx="0" cy="0"/>
          </xdr:xfrm>
          <a:graphic>
            <a:graphicData uri="http://schemas.microsoft.com/office/drawing/2010/slicer">
              <sle:slicer xmlns:sle="http://schemas.microsoft.com/office/drawing/2010/slicer" name="TYPE OF MEASURE"/>
            </a:graphicData>
          </a:graphic>
        </xdr:graphicFrame>
      </mc:Choice>
      <mc:Fallback xmlns="">
        <xdr:sp macro="" textlink="">
          <xdr:nvSpPr>
            <xdr:cNvPr id="0" name=""/>
            <xdr:cNvSpPr>
              <a:spLocks noTextEdit="1"/>
            </xdr:cNvSpPr>
          </xdr:nvSpPr>
          <xdr:spPr>
            <a:xfrm>
              <a:off x="1325880" y="1318762"/>
              <a:ext cx="1898451" cy="1718405"/>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2587023</xdr:colOff>
      <xdr:row>6</xdr:row>
      <xdr:rowOff>53842</xdr:rowOff>
    </xdr:from>
    <xdr:to>
      <xdr:col>8</xdr:col>
      <xdr:colOff>4084320</xdr:colOff>
      <xdr:row>15</xdr:row>
      <xdr:rowOff>126327</xdr:rowOff>
    </xdr:to>
    <mc:AlternateContent xmlns:mc="http://schemas.openxmlformats.org/markup-compatibility/2006" xmlns:sle15="http://schemas.microsoft.com/office/drawing/2012/slicer">
      <mc:Choice Requires="sle15">
        <xdr:graphicFrame macro="">
          <xdr:nvGraphicFramePr>
            <xdr:cNvPr id="10" name="Risk Level">
              <a:extLst>
                <a:ext uri="{FF2B5EF4-FFF2-40B4-BE49-F238E27FC236}">
                  <a16:creationId xmlns:a16="http://schemas.microsoft.com/office/drawing/2014/main" id="{646237DE-0B4E-190C-EF52-9E5FA380068E}"/>
                </a:ext>
              </a:extLst>
            </xdr:cNvPr>
            <xdr:cNvGraphicFramePr/>
          </xdr:nvGraphicFramePr>
          <xdr:xfrm>
            <a:off x="0" y="0"/>
            <a:ext cx="0" cy="0"/>
          </xdr:xfrm>
          <a:graphic>
            <a:graphicData uri="http://schemas.microsoft.com/office/drawing/2010/slicer">
              <sle:slicer xmlns:sle="http://schemas.microsoft.com/office/drawing/2010/slicer" name="Risk Level"/>
            </a:graphicData>
          </a:graphic>
        </xdr:graphicFrame>
      </mc:Choice>
      <mc:Fallback xmlns="">
        <xdr:sp macro="" textlink="">
          <xdr:nvSpPr>
            <xdr:cNvPr id="0" name=""/>
            <xdr:cNvSpPr>
              <a:spLocks noTextEdit="1"/>
            </xdr:cNvSpPr>
          </xdr:nvSpPr>
          <xdr:spPr>
            <a:xfrm>
              <a:off x="4469163" y="1318762"/>
              <a:ext cx="1247831" cy="1718405"/>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4079867</xdr:colOff>
      <xdr:row>6</xdr:row>
      <xdr:rowOff>53842</xdr:rowOff>
    </xdr:from>
    <xdr:to>
      <xdr:col>8</xdr:col>
      <xdr:colOff>5327698</xdr:colOff>
      <xdr:row>15</xdr:row>
      <xdr:rowOff>126327</xdr:rowOff>
    </xdr:to>
    <mc:AlternateContent xmlns:mc="http://schemas.openxmlformats.org/markup-compatibility/2006" xmlns:sle15="http://schemas.microsoft.com/office/drawing/2012/slicer">
      <mc:Choice Requires="sle15">
        <xdr:graphicFrame macro="">
          <xdr:nvGraphicFramePr>
            <xdr:cNvPr id="11" name="Nº Areas">
              <a:extLst>
                <a:ext uri="{FF2B5EF4-FFF2-40B4-BE49-F238E27FC236}">
                  <a16:creationId xmlns:a16="http://schemas.microsoft.com/office/drawing/2014/main" id="{5825FB35-DE8E-46CF-0BDE-60AD48A91A7D}"/>
                </a:ext>
              </a:extLst>
            </xdr:cNvPr>
            <xdr:cNvGraphicFramePr/>
          </xdr:nvGraphicFramePr>
          <xdr:xfrm>
            <a:off x="0" y="0"/>
            <a:ext cx="0" cy="0"/>
          </xdr:xfrm>
          <a:graphic>
            <a:graphicData uri="http://schemas.microsoft.com/office/drawing/2010/slicer">
              <sle:slicer xmlns:sle="http://schemas.microsoft.com/office/drawing/2010/slicer" name="Nº Areas"/>
            </a:graphicData>
          </a:graphic>
        </xdr:graphicFrame>
      </mc:Choice>
      <mc:Fallback xmlns="">
        <xdr:sp macro="" textlink="">
          <xdr:nvSpPr>
            <xdr:cNvPr id="0" name=""/>
            <xdr:cNvSpPr>
              <a:spLocks noTextEdit="1"/>
            </xdr:cNvSpPr>
          </xdr:nvSpPr>
          <xdr:spPr>
            <a:xfrm>
              <a:off x="5962007" y="1318762"/>
              <a:ext cx="1247831" cy="1718405"/>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1344115</xdr:colOff>
      <xdr:row>6</xdr:row>
      <xdr:rowOff>53842</xdr:rowOff>
    </xdr:from>
    <xdr:to>
      <xdr:col>8</xdr:col>
      <xdr:colOff>2591946</xdr:colOff>
      <xdr:row>15</xdr:row>
      <xdr:rowOff>126327</xdr:rowOff>
    </xdr:to>
    <mc:AlternateContent xmlns:mc="http://schemas.openxmlformats.org/markup-compatibility/2006" xmlns:sle15="http://schemas.microsoft.com/office/drawing/2012/slicer">
      <mc:Choice Requires="sle15">
        <xdr:graphicFrame macro="">
          <xdr:nvGraphicFramePr>
            <xdr:cNvPr id="12" name="Budget">
              <a:extLst>
                <a:ext uri="{FF2B5EF4-FFF2-40B4-BE49-F238E27FC236}">
                  <a16:creationId xmlns:a16="http://schemas.microsoft.com/office/drawing/2014/main" id="{E8B091DC-4F8D-A68C-2F0A-6D8922D9CB59}"/>
                </a:ext>
              </a:extLst>
            </xdr:cNvPr>
            <xdr:cNvGraphicFramePr/>
          </xdr:nvGraphicFramePr>
          <xdr:xfrm>
            <a:off x="0" y="0"/>
            <a:ext cx="0" cy="0"/>
          </xdr:xfrm>
          <a:graphic>
            <a:graphicData uri="http://schemas.microsoft.com/office/drawing/2010/slicer">
              <sle:slicer xmlns:sle="http://schemas.microsoft.com/office/drawing/2010/slicer" name="Budget"/>
            </a:graphicData>
          </a:graphic>
        </xdr:graphicFrame>
      </mc:Choice>
      <mc:Fallback xmlns="">
        <xdr:sp macro="" textlink="">
          <xdr:nvSpPr>
            <xdr:cNvPr id="0" name=""/>
            <xdr:cNvSpPr>
              <a:spLocks noTextEdit="1"/>
            </xdr:cNvSpPr>
          </xdr:nvSpPr>
          <xdr:spPr>
            <a:xfrm>
              <a:off x="3226255" y="1318762"/>
              <a:ext cx="1247831" cy="1718405"/>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5328877</xdr:colOff>
      <xdr:row>6</xdr:row>
      <xdr:rowOff>56977</xdr:rowOff>
    </xdr:from>
    <xdr:to>
      <xdr:col>8</xdr:col>
      <xdr:colOff>6575841</xdr:colOff>
      <xdr:row>11</xdr:row>
      <xdr:rowOff>13317</xdr:rowOff>
    </xdr:to>
    <mc:AlternateContent xmlns:mc="http://schemas.openxmlformats.org/markup-compatibility/2006" xmlns:sle15="http://schemas.microsoft.com/office/drawing/2012/slicer">
      <mc:Choice Requires="sle15">
        <xdr:graphicFrame macro="">
          <xdr:nvGraphicFramePr>
            <xdr:cNvPr id="2" name="Buildings">
              <a:extLst>
                <a:ext uri="{FF2B5EF4-FFF2-40B4-BE49-F238E27FC236}">
                  <a16:creationId xmlns:a16="http://schemas.microsoft.com/office/drawing/2014/main" id="{6C599A05-5753-21E1-8C7D-086B41879E5C}"/>
                </a:ext>
              </a:extLst>
            </xdr:cNvPr>
            <xdr:cNvGraphicFramePr/>
          </xdr:nvGraphicFramePr>
          <xdr:xfrm>
            <a:off x="0" y="0"/>
            <a:ext cx="0" cy="0"/>
          </xdr:xfrm>
          <a:graphic>
            <a:graphicData uri="http://schemas.microsoft.com/office/drawing/2010/slicer">
              <sle:slicer xmlns:sle="http://schemas.microsoft.com/office/drawing/2010/slicer" name="Buildings"/>
            </a:graphicData>
          </a:graphic>
        </xdr:graphicFrame>
      </mc:Choice>
      <mc:Fallback xmlns="">
        <xdr:sp macro="" textlink="">
          <xdr:nvSpPr>
            <xdr:cNvPr id="0" name=""/>
            <xdr:cNvSpPr>
              <a:spLocks noTextEdit="1"/>
            </xdr:cNvSpPr>
          </xdr:nvSpPr>
          <xdr:spPr>
            <a:xfrm>
              <a:off x="7211017" y="1321897"/>
              <a:ext cx="1246964"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5328877</xdr:colOff>
      <xdr:row>10</xdr:row>
      <xdr:rowOff>172249</xdr:rowOff>
    </xdr:from>
    <xdr:to>
      <xdr:col>8</xdr:col>
      <xdr:colOff>6575841</xdr:colOff>
      <xdr:row>15</xdr:row>
      <xdr:rowOff>128589</xdr:rowOff>
    </xdr:to>
    <mc:AlternateContent xmlns:mc="http://schemas.openxmlformats.org/markup-compatibility/2006" xmlns:sle15="http://schemas.microsoft.com/office/drawing/2012/slicer">
      <mc:Choice Requires="sle15">
        <xdr:graphicFrame macro="">
          <xdr:nvGraphicFramePr>
            <xdr:cNvPr id="3" name="Urban">
              <a:extLst>
                <a:ext uri="{FF2B5EF4-FFF2-40B4-BE49-F238E27FC236}">
                  <a16:creationId xmlns:a16="http://schemas.microsoft.com/office/drawing/2014/main" id="{7D1C8536-61C9-E40C-7709-6286A6230F48}"/>
                </a:ext>
              </a:extLst>
            </xdr:cNvPr>
            <xdr:cNvGraphicFramePr/>
          </xdr:nvGraphicFramePr>
          <xdr:xfrm>
            <a:off x="0" y="0"/>
            <a:ext cx="0" cy="0"/>
          </xdr:xfrm>
          <a:graphic>
            <a:graphicData uri="http://schemas.microsoft.com/office/drawing/2010/slicer">
              <sle:slicer xmlns:sle="http://schemas.microsoft.com/office/drawing/2010/slicer" name="Urban"/>
            </a:graphicData>
          </a:graphic>
        </xdr:graphicFrame>
      </mc:Choice>
      <mc:Fallback xmlns="">
        <xdr:sp macro="" textlink="">
          <xdr:nvSpPr>
            <xdr:cNvPr id="0" name=""/>
            <xdr:cNvSpPr>
              <a:spLocks noTextEdit="1"/>
            </xdr:cNvSpPr>
          </xdr:nvSpPr>
          <xdr:spPr>
            <a:xfrm>
              <a:off x="7211017" y="2168689"/>
              <a:ext cx="1246964"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6569390</xdr:colOff>
      <xdr:row>6</xdr:row>
      <xdr:rowOff>56977</xdr:rowOff>
    </xdr:from>
    <xdr:to>
      <xdr:col>9</xdr:col>
      <xdr:colOff>906772</xdr:colOff>
      <xdr:row>11</xdr:row>
      <xdr:rowOff>13317</xdr:rowOff>
    </xdr:to>
    <mc:AlternateContent xmlns:mc="http://schemas.openxmlformats.org/markup-compatibility/2006" xmlns:sle15="http://schemas.microsoft.com/office/drawing/2012/slicer">
      <mc:Choice Requires="sle15">
        <xdr:graphicFrame macro="">
          <xdr:nvGraphicFramePr>
            <xdr:cNvPr id="4" name="Culture">
              <a:extLst>
                <a:ext uri="{FF2B5EF4-FFF2-40B4-BE49-F238E27FC236}">
                  <a16:creationId xmlns:a16="http://schemas.microsoft.com/office/drawing/2014/main" id="{9B9687F0-E197-8EB6-A26E-476891E7B2F2}"/>
                </a:ext>
              </a:extLst>
            </xdr:cNvPr>
            <xdr:cNvGraphicFramePr/>
          </xdr:nvGraphicFramePr>
          <xdr:xfrm>
            <a:off x="0" y="0"/>
            <a:ext cx="0" cy="0"/>
          </xdr:xfrm>
          <a:graphic>
            <a:graphicData uri="http://schemas.microsoft.com/office/drawing/2010/slicer">
              <sle:slicer xmlns:sle="http://schemas.microsoft.com/office/drawing/2010/slicer" name="Culture"/>
            </a:graphicData>
          </a:graphic>
        </xdr:graphicFrame>
      </mc:Choice>
      <mc:Fallback xmlns="">
        <xdr:sp macro="" textlink="">
          <xdr:nvSpPr>
            <xdr:cNvPr id="0" name=""/>
            <xdr:cNvSpPr>
              <a:spLocks noTextEdit="1"/>
            </xdr:cNvSpPr>
          </xdr:nvSpPr>
          <xdr:spPr>
            <a:xfrm>
              <a:off x="8451530" y="1321897"/>
              <a:ext cx="1248722"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6569390</xdr:colOff>
      <xdr:row>10</xdr:row>
      <xdr:rowOff>172249</xdr:rowOff>
    </xdr:from>
    <xdr:to>
      <xdr:col>9</xdr:col>
      <xdr:colOff>906772</xdr:colOff>
      <xdr:row>15</xdr:row>
      <xdr:rowOff>128589</xdr:rowOff>
    </xdr:to>
    <mc:AlternateContent xmlns:mc="http://schemas.openxmlformats.org/markup-compatibility/2006" xmlns:sle15="http://schemas.microsoft.com/office/drawing/2012/slicer">
      <mc:Choice Requires="sle15">
        <xdr:graphicFrame macro="">
          <xdr:nvGraphicFramePr>
            <xdr:cNvPr id="5" name="Tourism ">
              <a:extLst>
                <a:ext uri="{FF2B5EF4-FFF2-40B4-BE49-F238E27FC236}">
                  <a16:creationId xmlns:a16="http://schemas.microsoft.com/office/drawing/2014/main" id="{7AD753DF-4775-CCBF-473E-F8DA26A1147C}"/>
                </a:ext>
              </a:extLst>
            </xdr:cNvPr>
            <xdr:cNvGraphicFramePr/>
          </xdr:nvGraphicFramePr>
          <xdr:xfrm>
            <a:off x="0" y="0"/>
            <a:ext cx="0" cy="0"/>
          </xdr:xfrm>
          <a:graphic>
            <a:graphicData uri="http://schemas.microsoft.com/office/drawing/2010/slicer">
              <sle:slicer xmlns:sle="http://schemas.microsoft.com/office/drawing/2010/slicer" name="Tourism "/>
            </a:graphicData>
          </a:graphic>
        </xdr:graphicFrame>
      </mc:Choice>
      <mc:Fallback xmlns="">
        <xdr:sp macro="" textlink="">
          <xdr:nvSpPr>
            <xdr:cNvPr id="0" name=""/>
            <xdr:cNvSpPr>
              <a:spLocks noTextEdit="1"/>
            </xdr:cNvSpPr>
          </xdr:nvSpPr>
          <xdr:spPr>
            <a:xfrm>
              <a:off x="8451530" y="2168689"/>
              <a:ext cx="1248722"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9</xdr:col>
      <xdr:colOff>900321</xdr:colOff>
      <xdr:row>6</xdr:row>
      <xdr:rowOff>56977</xdr:rowOff>
    </xdr:from>
    <xdr:to>
      <xdr:col>9</xdr:col>
      <xdr:colOff>2149043</xdr:colOff>
      <xdr:row>11</xdr:row>
      <xdr:rowOff>13317</xdr:rowOff>
    </xdr:to>
    <mc:AlternateContent xmlns:mc="http://schemas.openxmlformats.org/markup-compatibility/2006" xmlns:sle15="http://schemas.microsoft.com/office/drawing/2012/slicer">
      <mc:Choice Requires="sle15">
        <xdr:graphicFrame macro="">
          <xdr:nvGraphicFramePr>
            <xdr:cNvPr id="6" name="Occupational">
              <a:extLst>
                <a:ext uri="{FF2B5EF4-FFF2-40B4-BE49-F238E27FC236}">
                  <a16:creationId xmlns:a16="http://schemas.microsoft.com/office/drawing/2014/main" id="{3D454043-E478-06AD-E3D3-750B58C6D226}"/>
                </a:ext>
              </a:extLst>
            </xdr:cNvPr>
            <xdr:cNvGraphicFramePr/>
          </xdr:nvGraphicFramePr>
          <xdr:xfrm>
            <a:off x="0" y="0"/>
            <a:ext cx="0" cy="0"/>
          </xdr:xfrm>
          <a:graphic>
            <a:graphicData uri="http://schemas.microsoft.com/office/drawing/2010/slicer">
              <sle:slicer xmlns:sle="http://schemas.microsoft.com/office/drawing/2010/slicer" name="Occupational"/>
            </a:graphicData>
          </a:graphic>
        </xdr:graphicFrame>
      </mc:Choice>
      <mc:Fallback xmlns="">
        <xdr:sp macro="" textlink="">
          <xdr:nvSpPr>
            <xdr:cNvPr id="0" name=""/>
            <xdr:cNvSpPr>
              <a:spLocks noTextEdit="1"/>
            </xdr:cNvSpPr>
          </xdr:nvSpPr>
          <xdr:spPr>
            <a:xfrm>
              <a:off x="9693801" y="1321897"/>
              <a:ext cx="1248722"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9</xdr:col>
      <xdr:colOff>900321</xdr:colOff>
      <xdr:row>10</xdr:row>
      <xdr:rowOff>172249</xdr:rowOff>
    </xdr:from>
    <xdr:to>
      <xdr:col>9</xdr:col>
      <xdr:colOff>2149043</xdr:colOff>
      <xdr:row>15</xdr:row>
      <xdr:rowOff>128589</xdr:rowOff>
    </xdr:to>
    <mc:AlternateContent xmlns:mc="http://schemas.openxmlformats.org/markup-compatibility/2006" xmlns:sle15="http://schemas.microsoft.com/office/drawing/2012/slicer">
      <mc:Choice Requires="sle15">
        <xdr:graphicFrame macro="">
          <xdr:nvGraphicFramePr>
            <xdr:cNvPr id="7" name="Education ">
              <a:extLst>
                <a:ext uri="{FF2B5EF4-FFF2-40B4-BE49-F238E27FC236}">
                  <a16:creationId xmlns:a16="http://schemas.microsoft.com/office/drawing/2014/main" id="{4B17FEA3-DFB4-0CCE-2593-D70E1DC14443}"/>
                </a:ext>
              </a:extLst>
            </xdr:cNvPr>
            <xdr:cNvGraphicFramePr/>
          </xdr:nvGraphicFramePr>
          <xdr:xfrm>
            <a:off x="0" y="0"/>
            <a:ext cx="0" cy="0"/>
          </xdr:xfrm>
          <a:graphic>
            <a:graphicData uri="http://schemas.microsoft.com/office/drawing/2010/slicer">
              <sle:slicer xmlns:sle="http://schemas.microsoft.com/office/drawing/2010/slicer" name="Education "/>
            </a:graphicData>
          </a:graphic>
        </xdr:graphicFrame>
      </mc:Choice>
      <mc:Fallback xmlns="">
        <xdr:sp macro="" textlink="">
          <xdr:nvSpPr>
            <xdr:cNvPr id="0" name=""/>
            <xdr:cNvSpPr>
              <a:spLocks noTextEdit="1"/>
            </xdr:cNvSpPr>
          </xdr:nvSpPr>
          <xdr:spPr>
            <a:xfrm>
              <a:off x="9693801" y="2168689"/>
              <a:ext cx="1248722"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9</xdr:col>
      <xdr:colOff>2142592</xdr:colOff>
      <xdr:row>6</xdr:row>
      <xdr:rowOff>56977</xdr:rowOff>
    </xdr:from>
    <xdr:to>
      <xdr:col>9</xdr:col>
      <xdr:colOff>3389555</xdr:colOff>
      <xdr:row>11</xdr:row>
      <xdr:rowOff>13317</xdr:rowOff>
    </xdr:to>
    <mc:AlternateContent xmlns:mc="http://schemas.openxmlformats.org/markup-compatibility/2006" xmlns:sle15="http://schemas.microsoft.com/office/drawing/2012/slicer">
      <mc:Choice Requires="sle15">
        <xdr:graphicFrame macro="">
          <xdr:nvGraphicFramePr>
            <xdr:cNvPr id="9" name="Social">
              <a:extLst>
                <a:ext uri="{FF2B5EF4-FFF2-40B4-BE49-F238E27FC236}">
                  <a16:creationId xmlns:a16="http://schemas.microsoft.com/office/drawing/2014/main" id="{ED1EA646-B9E8-9189-7349-9DBECCFF490E}"/>
                </a:ext>
              </a:extLst>
            </xdr:cNvPr>
            <xdr:cNvGraphicFramePr/>
          </xdr:nvGraphicFramePr>
          <xdr:xfrm>
            <a:off x="0" y="0"/>
            <a:ext cx="0" cy="0"/>
          </xdr:xfrm>
          <a:graphic>
            <a:graphicData uri="http://schemas.microsoft.com/office/drawing/2010/slicer">
              <sle:slicer xmlns:sle="http://schemas.microsoft.com/office/drawing/2010/slicer" name="Social"/>
            </a:graphicData>
          </a:graphic>
        </xdr:graphicFrame>
      </mc:Choice>
      <mc:Fallback xmlns="">
        <xdr:sp macro="" textlink="">
          <xdr:nvSpPr>
            <xdr:cNvPr id="0" name=""/>
            <xdr:cNvSpPr>
              <a:spLocks noTextEdit="1"/>
            </xdr:cNvSpPr>
          </xdr:nvSpPr>
          <xdr:spPr>
            <a:xfrm>
              <a:off x="10936072" y="1321897"/>
              <a:ext cx="1246963"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9</xdr:col>
      <xdr:colOff>2142592</xdr:colOff>
      <xdr:row>10</xdr:row>
      <xdr:rowOff>172249</xdr:rowOff>
    </xdr:from>
    <xdr:to>
      <xdr:col>9</xdr:col>
      <xdr:colOff>3389555</xdr:colOff>
      <xdr:row>15</xdr:row>
      <xdr:rowOff>128589</xdr:rowOff>
    </xdr:to>
    <mc:AlternateContent xmlns:mc="http://schemas.openxmlformats.org/markup-compatibility/2006" xmlns:sle15="http://schemas.microsoft.com/office/drawing/2012/slicer">
      <mc:Choice Requires="sle15">
        <xdr:graphicFrame macro="">
          <xdr:nvGraphicFramePr>
            <xdr:cNvPr id="13" name="Emergency">
              <a:extLst>
                <a:ext uri="{FF2B5EF4-FFF2-40B4-BE49-F238E27FC236}">
                  <a16:creationId xmlns:a16="http://schemas.microsoft.com/office/drawing/2014/main" id="{50093824-6769-8893-8733-542F081B8987}"/>
                </a:ext>
              </a:extLst>
            </xdr:cNvPr>
            <xdr:cNvGraphicFramePr/>
          </xdr:nvGraphicFramePr>
          <xdr:xfrm>
            <a:off x="0" y="0"/>
            <a:ext cx="0" cy="0"/>
          </xdr:xfrm>
          <a:graphic>
            <a:graphicData uri="http://schemas.microsoft.com/office/drawing/2010/slicer">
              <sle:slicer xmlns:sle="http://schemas.microsoft.com/office/drawing/2010/slicer" name="Emergency"/>
            </a:graphicData>
          </a:graphic>
        </xdr:graphicFrame>
      </mc:Choice>
      <mc:Fallback xmlns="">
        <xdr:sp macro="" textlink="">
          <xdr:nvSpPr>
            <xdr:cNvPr id="0" name=""/>
            <xdr:cNvSpPr>
              <a:spLocks noTextEdit="1"/>
            </xdr:cNvSpPr>
          </xdr:nvSpPr>
          <xdr:spPr>
            <a:xfrm>
              <a:off x="10936072" y="2168689"/>
              <a:ext cx="1246963"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9</xdr:col>
      <xdr:colOff>3383104</xdr:colOff>
      <xdr:row>6</xdr:row>
      <xdr:rowOff>56977</xdr:rowOff>
    </xdr:from>
    <xdr:to>
      <xdr:col>21</xdr:col>
      <xdr:colOff>122545</xdr:colOff>
      <xdr:row>11</xdr:row>
      <xdr:rowOff>13317</xdr:rowOff>
    </xdr:to>
    <mc:AlternateContent xmlns:mc="http://schemas.openxmlformats.org/markup-compatibility/2006" xmlns:sle15="http://schemas.microsoft.com/office/drawing/2012/slicer">
      <mc:Choice Requires="sle15">
        <xdr:graphicFrame macro="">
          <xdr:nvGraphicFramePr>
            <xdr:cNvPr id="25" name="Parks">
              <a:extLst>
                <a:ext uri="{FF2B5EF4-FFF2-40B4-BE49-F238E27FC236}">
                  <a16:creationId xmlns:a16="http://schemas.microsoft.com/office/drawing/2014/main" id="{2D6842AE-B0EC-B7BE-8D89-00B7E292B3C9}"/>
                </a:ext>
              </a:extLst>
            </xdr:cNvPr>
            <xdr:cNvGraphicFramePr/>
          </xdr:nvGraphicFramePr>
          <xdr:xfrm>
            <a:off x="0" y="0"/>
            <a:ext cx="0" cy="0"/>
          </xdr:xfrm>
          <a:graphic>
            <a:graphicData uri="http://schemas.microsoft.com/office/drawing/2010/slicer">
              <sle:slicer xmlns:sle="http://schemas.microsoft.com/office/drawing/2010/slicer" name="Parks"/>
            </a:graphicData>
          </a:graphic>
        </xdr:graphicFrame>
      </mc:Choice>
      <mc:Fallback xmlns="">
        <xdr:sp macro="" textlink="">
          <xdr:nvSpPr>
            <xdr:cNvPr id="0" name=""/>
            <xdr:cNvSpPr>
              <a:spLocks noTextEdit="1"/>
            </xdr:cNvSpPr>
          </xdr:nvSpPr>
          <xdr:spPr>
            <a:xfrm>
              <a:off x="12176584" y="1321897"/>
              <a:ext cx="1250481"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9</xdr:col>
      <xdr:colOff>3383104</xdr:colOff>
      <xdr:row>10</xdr:row>
      <xdr:rowOff>172249</xdr:rowOff>
    </xdr:from>
    <xdr:to>
      <xdr:col>21</xdr:col>
      <xdr:colOff>122545</xdr:colOff>
      <xdr:row>15</xdr:row>
      <xdr:rowOff>128589</xdr:rowOff>
    </xdr:to>
    <mc:AlternateContent xmlns:mc="http://schemas.openxmlformats.org/markup-compatibility/2006" xmlns:sle15="http://schemas.microsoft.com/office/drawing/2012/slicer">
      <mc:Choice Requires="sle15">
        <xdr:graphicFrame macro="">
          <xdr:nvGraphicFramePr>
            <xdr:cNvPr id="34" name="Transport ">
              <a:extLst>
                <a:ext uri="{FF2B5EF4-FFF2-40B4-BE49-F238E27FC236}">
                  <a16:creationId xmlns:a16="http://schemas.microsoft.com/office/drawing/2014/main" id="{98DACC5E-3DD4-E041-CA9B-730C485F0C6D}"/>
                </a:ext>
              </a:extLst>
            </xdr:cNvPr>
            <xdr:cNvGraphicFramePr/>
          </xdr:nvGraphicFramePr>
          <xdr:xfrm>
            <a:off x="0" y="0"/>
            <a:ext cx="0" cy="0"/>
          </xdr:xfrm>
          <a:graphic>
            <a:graphicData uri="http://schemas.microsoft.com/office/drawing/2010/slicer">
              <sle:slicer xmlns:sle="http://schemas.microsoft.com/office/drawing/2010/slicer" name="Transport "/>
            </a:graphicData>
          </a:graphic>
        </xdr:graphicFrame>
      </mc:Choice>
      <mc:Fallback xmlns="">
        <xdr:sp macro="" textlink="">
          <xdr:nvSpPr>
            <xdr:cNvPr id="0" name=""/>
            <xdr:cNvSpPr>
              <a:spLocks noTextEdit="1"/>
            </xdr:cNvSpPr>
          </xdr:nvSpPr>
          <xdr:spPr>
            <a:xfrm>
              <a:off x="12176584" y="2168689"/>
              <a:ext cx="1250481"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21</xdr:col>
      <xdr:colOff>116094</xdr:colOff>
      <xdr:row>10</xdr:row>
      <xdr:rowOff>172249</xdr:rowOff>
    </xdr:from>
    <xdr:to>
      <xdr:col>24</xdr:col>
      <xdr:colOff>566474</xdr:colOff>
      <xdr:row>15</xdr:row>
      <xdr:rowOff>128589</xdr:rowOff>
    </xdr:to>
    <mc:AlternateContent xmlns:mc="http://schemas.openxmlformats.org/markup-compatibility/2006" xmlns:sle15="http://schemas.microsoft.com/office/drawing/2012/slicer">
      <mc:Choice Requires="sle15">
        <xdr:graphicFrame macro="">
          <xdr:nvGraphicFramePr>
            <xdr:cNvPr id="35" name="Coordination ">
              <a:extLst>
                <a:ext uri="{FF2B5EF4-FFF2-40B4-BE49-F238E27FC236}">
                  <a16:creationId xmlns:a16="http://schemas.microsoft.com/office/drawing/2014/main" id="{6A82BC65-D9D2-E290-E53F-918A3CA5F57C}"/>
                </a:ext>
              </a:extLst>
            </xdr:cNvPr>
            <xdr:cNvGraphicFramePr/>
          </xdr:nvGraphicFramePr>
          <xdr:xfrm>
            <a:off x="0" y="0"/>
            <a:ext cx="0" cy="0"/>
          </xdr:xfrm>
          <a:graphic>
            <a:graphicData uri="http://schemas.microsoft.com/office/drawing/2010/slicer">
              <sle:slicer xmlns:sle="http://schemas.microsoft.com/office/drawing/2010/slicer" name="Coordination "/>
            </a:graphicData>
          </a:graphic>
        </xdr:graphicFrame>
      </mc:Choice>
      <mc:Fallback xmlns="">
        <xdr:sp macro="" textlink="">
          <xdr:nvSpPr>
            <xdr:cNvPr id="0" name=""/>
            <xdr:cNvSpPr>
              <a:spLocks noTextEdit="1"/>
            </xdr:cNvSpPr>
          </xdr:nvSpPr>
          <xdr:spPr>
            <a:xfrm>
              <a:off x="13420614" y="2168689"/>
              <a:ext cx="1258100" cy="870740"/>
            </a:xfrm>
            <a:prstGeom prst="rect">
              <a:avLst/>
            </a:prstGeom>
            <a:solidFill>
              <a:prstClr val="white"/>
            </a:solidFill>
            <a:ln w="1">
              <a:solidFill>
                <a:prstClr val="green"/>
              </a:solidFill>
            </a:ln>
          </xdr:spPr>
          <xdr:txBody>
            <a:bodyPr vertOverflow="clip" horzOverflow="clip"/>
            <a:lstStyle/>
            <a:p>
              <a:r>
                <a:rPr lang="es-ES"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2</xdr:col>
      <xdr:colOff>18</xdr:colOff>
      <xdr:row>1</xdr:row>
      <xdr:rowOff>2932</xdr:rowOff>
    </xdr:from>
    <xdr:to>
      <xdr:col>8</xdr:col>
      <xdr:colOff>3006331</xdr:colOff>
      <xdr:row>4</xdr:row>
      <xdr:rowOff>7452</xdr:rowOff>
    </xdr:to>
    <xdr:pic>
      <xdr:nvPicPr>
        <xdr:cNvPr id="16" name="Imagen 15">
          <a:extLst>
            <a:ext uri="{FF2B5EF4-FFF2-40B4-BE49-F238E27FC236}">
              <a16:creationId xmlns:a16="http://schemas.microsoft.com/office/drawing/2014/main" id="{DA894988-A77A-E441-9673-D05D5550B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2668" y="187082"/>
          <a:ext cx="4027882" cy="534745"/>
        </a:xfrm>
        <a:prstGeom prst="rect">
          <a:avLst/>
        </a:prstGeom>
      </xdr:spPr>
    </xdr:pic>
    <xdr:clientData/>
  </xdr:twoCellAnchor>
  <xdr:twoCellAnchor editAs="absolute">
    <xdr:from>
      <xdr:col>0</xdr:col>
      <xdr:colOff>0</xdr:colOff>
      <xdr:row>4</xdr:row>
      <xdr:rowOff>12219</xdr:rowOff>
    </xdr:from>
    <xdr:to>
      <xdr:col>1</xdr:col>
      <xdr:colOff>6475</xdr:colOff>
      <xdr:row>19</xdr:row>
      <xdr:rowOff>201929</xdr:rowOff>
    </xdr:to>
    <xdr:grpSp>
      <xdr:nvGrpSpPr>
        <xdr:cNvPr id="22" name="Grupo 21">
          <a:extLst>
            <a:ext uri="{FF2B5EF4-FFF2-40B4-BE49-F238E27FC236}">
              <a16:creationId xmlns:a16="http://schemas.microsoft.com/office/drawing/2014/main" id="{1AE7F5AF-2DE7-57F7-4259-80048E3A7BF7}"/>
            </a:ext>
          </a:extLst>
        </xdr:cNvPr>
        <xdr:cNvGrpSpPr/>
      </xdr:nvGrpSpPr>
      <xdr:grpSpPr>
        <a:xfrm>
          <a:off x="0" y="743739"/>
          <a:ext cx="737995" cy="3786350"/>
          <a:chOff x="0" y="743739"/>
          <a:chExt cx="737995" cy="3786350"/>
        </a:xfrm>
      </xdr:grpSpPr>
      <xdr:pic>
        <xdr:nvPicPr>
          <xdr:cNvPr id="17" name="Imagen 16">
            <a:hlinkClick xmlns:r="http://schemas.openxmlformats.org/officeDocument/2006/relationships" r:id="rId2"/>
            <a:extLst>
              <a:ext uri="{FF2B5EF4-FFF2-40B4-BE49-F238E27FC236}">
                <a16:creationId xmlns:a16="http://schemas.microsoft.com/office/drawing/2014/main" id="{8189726B-7F35-D9F4-E1D8-C6D26B3343D1}"/>
              </a:ext>
            </a:extLst>
          </xdr:cNvPr>
          <xdr:cNvPicPr preferRelativeResize="0">
            <a:picLocks/>
          </xdr:cNvPicPr>
        </xdr:nvPicPr>
        <xdr:blipFill>
          <a:blip xmlns:r="http://schemas.openxmlformats.org/officeDocument/2006/relationships" r:embed="rId3"/>
          <a:stretch>
            <a:fillRect/>
          </a:stretch>
        </xdr:blipFill>
        <xdr:spPr>
          <a:xfrm>
            <a:off x="4575" y="743739"/>
            <a:ext cx="723381" cy="768773"/>
          </a:xfrm>
          <a:prstGeom prst="rect">
            <a:avLst/>
          </a:prstGeom>
          <a:ln>
            <a:noFill/>
          </a:ln>
        </xdr:spPr>
      </xdr:pic>
      <xdr:pic>
        <xdr:nvPicPr>
          <xdr:cNvPr id="18" name="Imagen 17">
            <a:hlinkClick xmlns:r="http://schemas.openxmlformats.org/officeDocument/2006/relationships" r:id="rId4"/>
            <a:extLst>
              <a:ext uri="{FF2B5EF4-FFF2-40B4-BE49-F238E27FC236}">
                <a16:creationId xmlns:a16="http://schemas.microsoft.com/office/drawing/2014/main" id="{1C45B3C8-DB80-B0F4-C9FE-AD678E1BB6E4}"/>
              </a:ext>
            </a:extLst>
          </xdr:cNvPr>
          <xdr:cNvPicPr preferRelativeResize="0">
            <a:picLocks/>
          </xdr:cNvPicPr>
        </xdr:nvPicPr>
        <xdr:blipFill>
          <a:blip xmlns:r="http://schemas.openxmlformats.org/officeDocument/2006/relationships" r:embed="rId5"/>
          <a:stretch>
            <a:fillRect/>
          </a:stretch>
        </xdr:blipFill>
        <xdr:spPr>
          <a:xfrm>
            <a:off x="6861" y="2259579"/>
            <a:ext cx="730688" cy="762239"/>
          </a:xfrm>
          <a:prstGeom prst="rect">
            <a:avLst/>
          </a:prstGeom>
          <a:ln>
            <a:noFill/>
          </a:ln>
        </xdr:spPr>
      </xdr:pic>
      <xdr:pic>
        <xdr:nvPicPr>
          <xdr:cNvPr id="19" name="Imagen 18">
            <a:hlinkClick xmlns:r="http://schemas.openxmlformats.org/officeDocument/2006/relationships" r:id="rId6"/>
            <a:extLst>
              <a:ext uri="{FF2B5EF4-FFF2-40B4-BE49-F238E27FC236}">
                <a16:creationId xmlns:a16="http://schemas.microsoft.com/office/drawing/2014/main" id="{85CE1168-E094-4C25-F4A5-44BE0B00BBA3}"/>
              </a:ext>
            </a:extLst>
          </xdr:cNvPr>
          <xdr:cNvPicPr preferRelativeResize="0">
            <a:picLocks/>
          </xdr:cNvPicPr>
        </xdr:nvPicPr>
        <xdr:blipFill>
          <a:blip xmlns:r="http://schemas.openxmlformats.org/officeDocument/2006/relationships" r:embed="rId7"/>
          <a:stretch>
            <a:fillRect/>
          </a:stretch>
        </xdr:blipFill>
        <xdr:spPr>
          <a:xfrm>
            <a:off x="6965" y="3017788"/>
            <a:ext cx="730688" cy="761809"/>
          </a:xfrm>
          <a:prstGeom prst="rect">
            <a:avLst/>
          </a:prstGeom>
        </xdr:spPr>
      </xdr:pic>
      <xdr:pic>
        <xdr:nvPicPr>
          <xdr:cNvPr id="20" name="Imagen 19">
            <a:hlinkClick xmlns:r="http://schemas.openxmlformats.org/officeDocument/2006/relationships" r:id="rId8"/>
            <a:extLst>
              <a:ext uri="{FF2B5EF4-FFF2-40B4-BE49-F238E27FC236}">
                <a16:creationId xmlns:a16="http://schemas.microsoft.com/office/drawing/2014/main" id="{2E1EEF4A-3608-FB7E-2788-2FB93C1AD954}"/>
              </a:ext>
            </a:extLst>
          </xdr:cNvPr>
          <xdr:cNvPicPr preferRelativeResize="0">
            <a:picLocks/>
          </xdr:cNvPicPr>
        </xdr:nvPicPr>
        <xdr:blipFill>
          <a:blip xmlns:r="http://schemas.openxmlformats.org/officeDocument/2006/relationships" r:embed="rId9"/>
          <a:stretch>
            <a:fillRect/>
          </a:stretch>
        </xdr:blipFill>
        <xdr:spPr>
          <a:xfrm>
            <a:off x="6862" y="3769214"/>
            <a:ext cx="730688" cy="760875"/>
          </a:xfrm>
          <a:prstGeom prst="rect">
            <a:avLst/>
          </a:prstGeom>
        </xdr:spPr>
      </xdr:pic>
      <xdr:pic>
        <xdr:nvPicPr>
          <xdr:cNvPr id="21" name="Imagen 20">
            <a:hlinkClick xmlns:r="http://schemas.openxmlformats.org/officeDocument/2006/relationships" r:id="rId10"/>
            <a:extLst>
              <a:ext uri="{FF2B5EF4-FFF2-40B4-BE49-F238E27FC236}">
                <a16:creationId xmlns:a16="http://schemas.microsoft.com/office/drawing/2014/main" id="{32C87D2F-A001-0365-B44B-22257B739C96}"/>
              </a:ext>
            </a:extLst>
          </xdr:cNvPr>
          <xdr:cNvPicPr preferRelativeResize="0">
            <a:picLocks/>
          </xdr:cNvPicPr>
        </xdr:nvPicPr>
        <xdr:blipFill>
          <a:blip xmlns:r="http://schemas.openxmlformats.org/officeDocument/2006/relationships" r:embed="rId11"/>
          <a:stretch>
            <a:fillRect/>
          </a:stretch>
        </xdr:blipFill>
        <xdr:spPr>
          <a:xfrm>
            <a:off x="0" y="1508849"/>
            <a:ext cx="737995" cy="757733"/>
          </a:xfrm>
          <a:prstGeom prst="rect">
            <a:avLst/>
          </a:prstGeom>
          <a:ln>
            <a:noFill/>
          </a:ln>
        </xdr:spPr>
      </xdr:pic>
    </xdr:grp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YPE_OF_MEASURE" xr10:uid="{05AF6BF8-57B8-49E3-9148-5F2613DFB8AD}" sourceName="TYPE OF MEASURE">
  <extLst>
    <x:ext xmlns:x15="http://schemas.microsoft.com/office/spreadsheetml/2010/11/main" uri="{2F2917AC-EB37-4324-AD4E-5DD8C200BD13}">
      <x15:tableSlicerCache tableId="1" column="2"/>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ducation" xr10:uid="{B6A92B10-8AE4-4675-A3D6-F1A50EA1654E}" sourceName="Education ">
  <extLst>
    <x:ext xmlns:x15="http://schemas.microsoft.com/office/spreadsheetml/2010/11/main" uri="{2F2917AC-EB37-4324-AD4E-5DD8C200BD13}">
      <x15:tableSlicerCache tableId="1" column="31" sortOrder="descending"/>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ocial" xr10:uid="{D90B608A-9D5D-439B-97C9-03535483D8F8}" sourceName="Social">
  <extLst>
    <x:ext xmlns:x15="http://schemas.microsoft.com/office/spreadsheetml/2010/11/main" uri="{2F2917AC-EB37-4324-AD4E-5DD8C200BD13}">
      <x15:tableSlicerCache tableId="1" column="32" sortOrder="descending"/>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mergency" xr10:uid="{C6ECE735-23E1-4CCC-9C82-53CF7246E6BE}" sourceName="Emergency">
  <extLst>
    <x:ext xmlns:x15="http://schemas.microsoft.com/office/spreadsheetml/2010/11/main" uri="{2F2917AC-EB37-4324-AD4E-5DD8C200BD13}">
      <x15:tableSlicerCache tableId="1" column="33" sortOrder="descending"/>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arks" xr10:uid="{4746E22D-7949-4E1F-9038-DC5AAD89E552}" sourceName="Parks">
  <extLst>
    <x:ext xmlns:x15="http://schemas.microsoft.com/office/spreadsheetml/2010/11/main" uri="{2F2917AC-EB37-4324-AD4E-5DD8C200BD13}">
      <x15:tableSlicerCache tableId="1" column="34" sortOrder="descending"/>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ransport" xr10:uid="{BBBE4B51-7DAD-4FF6-B5CC-8090769ECC48}" sourceName="Transport ">
  <extLst>
    <x:ext xmlns:x15="http://schemas.microsoft.com/office/spreadsheetml/2010/11/main" uri="{2F2917AC-EB37-4324-AD4E-5DD8C200BD13}">
      <x15:tableSlicerCache tableId="1" column="35" sortOrder="descending"/>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oordination" xr10:uid="{C1E99F95-E127-4551-886C-359286B955D3}" sourceName="Coordination ">
  <extLst>
    <x:ext xmlns:x15="http://schemas.microsoft.com/office/spreadsheetml/2010/11/main" uri="{2F2917AC-EB37-4324-AD4E-5DD8C200BD13}">
      <x15:tableSlicerCache tableId="1" column="36" sortOrder="descending"/>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isk_Level" xr10:uid="{5F22AF3A-E07F-4653-88EF-9DD262F7B33D}" sourceName="Risk Level">
  <extLst>
    <x:ext xmlns:x15="http://schemas.microsoft.com/office/spreadsheetml/2010/11/main" uri="{2F2917AC-EB37-4324-AD4E-5DD8C200BD13}">
      <x15:tableSlicerCache tableId="1" column="1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º_Areas" xr10:uid="{56701BCE-70C6-4B1E-B3B1-6D11C811F31B}" sourceName="Nº Areas">
  <extLst>
    <x:ext xmlns:x15="http://schemas.microsoft.com/office/spreadsheetml/2010/11/main" uri="{2F2917AC-EB37-4324-AD4E-5DD8C200BD13}">
      <x15:tableSlicerCache tableId="1" column="26"/>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Budget" xr10:uid="{188E2CF5-60A5-43B5-8AAA-BE3097F508FE}" sourceName="Budget">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Buildings" xr10:uid="{CB26CD3D-AEA6-41B5-B711-7377DBF70335}" sourceName="Buildings">
  <extLst>
    <x:ext xmlns:x15="http://schemas.microsoft.com/office/spreadsheetml/2010/11/main" uri="{2F2917AC-EB37-4324-AD4E-5DD8C200BD13}">
      <x15:tableSlicerCache tableId="1" column="25" sortOrder="descending"/>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Urban" xr10:uid="{A2E937CE-BE15-4102-895D-CC08C93A8758}" sourceName="Urban">
  <extLst>
    <x:ext xmlns:x15="http://schemas.microsoft.com/office/spreadsheetml/2010/11/main" uri="{2F2917AC-EB37-4324-AD4E-5DD8C200BD13}">
      <x15:tableSlicerCache tableId="1" column="27" sortOrder="descending"/>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ulture" xr10:uid="{6C3E861F-A6D2-441B-B9D4-CFE3C1D2D459}" sourceName="Culture">
  <extLst>
    <x:ext xmlns:x15="http://schemas.microsoft.com/office/spreadsheetml/2010/11/main" uri="{2F2917AC-EB37-4324-AD4E-5DD8C200BD13}">
      <x15:tableSlicerCache tableId="1" column="28" sortOrder="descending"/>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ourism" xr10:uid="{5A22EF16-E897-4FC8-BCAF-4A873F7842E3}" sourceName="Tourism ">
  <extLst>
    <x:ext xmlns:x15="http://schemas.microsoft.com/office/spreadsheetml/2010/11/main" uri="{2F2917AC-EB37-4324-AD4E-5DD8C200BD13}">
      <x15:tableSlicerCache tableId="1" column="29" sortOrder="descending"/>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ccupational" xr10:uid="{9896AC51-F177-4C6D-AD95-DBD93CC3E6D8}" sourceName="Occupational">
  <extLst>
    <x:ext xmlns:x15="http://schemas.microsoft.com/office/spreadsheetml/2010/11/main" uri="{2F2917AC-EB37-4324-AD4E-5DD8C200BD13}">
      <x15:tableSlicerCache tableId="1" column="30" sortOrder="descending"/>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MEASURE" xr10:uid="{241FD834-259F-4C19-82BC-DED18A23FC23}" cache="SegmentaciónDeDatos_TYPE_OF_MEASURE" caption="TYPE OF MEASURE" style="SlicerStyleLight5" rowHeight="247650"/>
  <slicer name="Risk Level" xr10:uid="{326C58C5-CF96-4994-A3A8-29E1FEF97C00}" cache="SegmentaciónDeDatos_Risk_Level" caption="Risk Level" style="SlicerStyleLight3" rowHeight="247650"/>
  <slicer name="Nº Areas" xr10:uid="{3A282806-2878-4BB0-8116-E8D9C7B5D5AF}" cache="SegmentaciónDeDatos_Nº_Areas" caption="Nº Areas" columnCount="2" style="SlicerStyleLight3" rowHeight="247650"/>
  <slicer name="Budget" xr10:uid="{9C6B3820-C379-4BC1-BCA1-F23A6F8D1025}" cache="SegmentaciónDeDatos_Budget" caption="Budget" style="SlicerStyleLight3" rowHeight="247650"/>
  <slicer name="Buildings" xr10:uid="{A89C39EA-CE7C-44C9-8EA1-1CE605CD5C7D}" cache="SegmentaciónDeDatos_Buildings" caption="Buildings" style="SlicerStyleLight2" rowHeight="216000"/>
  <slicer name="Urban" xr10:uid="{3E8646A4-084F-4DA7-93F3-DAA580C0E9ED}" cache="SegmentaciónDeDatos_Urban" caption="Urban" style="SlicerStyleLight2" rowHeight="216000"/>
  <slicer name="Culture" xr10:uid="{C27FCA52-9943-4BEE-BFAC-8C57FA398655}" cache="SegmentaciónDeDatos_Culture" caption="Culture" style="SlicerStyleLight2" rowHeight="216000"/>
  <slicer name="Tourism " xr10:uid="{C9C01186-7CDC-40A0-AA91-FCBE9F46BFD1}" cache="SegmentaciónDeDatos_Tourism" caption="Tourism " style="SlicerStyleLight2" rowHeight="216000"/>
  <slicer name="Occupational" xr10:uid="{995F3D77-D347-4805-8DE8-7D6C1A126DFA}" cache="SegmentaciónDeDatos_Occupational" caption="Occupational" style="SlicerStyleLight2" rowHeight="216000"/>
  <slicer name="Education " xr10:uid="{90DA9B52-DA68-4C89-86CE-D17BDB6AA005}" cache="SegmentaciónDeDatos_Education" caption="Education " style="SlicerStyleLight2" rowHeight="216000"/>
  <slicer name="Social" xr10:uid="{04D06223-3B7F-4CC9-B795-9B2FB218C9CB}" cache="SegmentaciónDeDatos_Social" caption="Social" style="SlicerStyleLight2" rowHeight="216000"/>
  <slicer name="Emergency" xr10:uid="{E7D5FFAB-AF46-4640-A0BA-816AE5797B0C}" cache="SegmentaciónDeDatos_Emergency" caption="Emergency" style="SlicerStyleLight2" rowHeight="216000"/>
  <slicer name="Parks" xr10:uid="{130DBF88-21F8-49C2-A8CD-A51FFB7EDF41}" cache="SegmentaciónDeDatos_Parks" caption="Parks" style="SlicerStyleLight2" rowHeight="216000"/>
  <slicer name="Transport " xr10:uid="{B26C6CB2-2D2E-4B93-8E0F-E80DF93D2895}" cache="SegmentaciónDeDatos_Transport" caption="Transport " style="SlicerStyleLight2" rowHeight="216000"/>
  <slicer name="Coordination " xr10:uid="{FB752D88-5674-40FE-B470-20BFF217DBAA}" cache="SegmentaciónDeDatos_Coordination" caption="Coordination " style="SlicerStyleLight2" rowHeight="216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313BEE-6237-45E3-9699-449B3ABE3774}" name="T_MEASURES" displayName="T_MEASURES" ref="D17:BQ158" totalsRowShown="0" headerRowDxfId="67" dataDxfId="66" headerRowCellStyle="Normal 2">
  <autoFilter ref="D17:BQ158" xr:uid="{2B313BEE-6237-45E3-9699-449B3ABE377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autoFilter>
  <tableColumns count="66">
    <tableColumn id="67" xr3:uid="{B4DB225D-60E1-4702-A2C5-172BF4CAA31A}" name="Rank" dataDxfId="65">
      <calculatedColumnFormula>IF(T_MEASURES[[#This Row],[Weight Criterion]]&lt;=0,"",_xlfn.RANK.EQ(T_MEASURES[[#This Row],[Weight Criterion]],T_MEASURES[Weight Criterion]))</calculatedColumnFormula>
    </tableColumn>
    <tableColumn id="1" xr3:uid="{C95C5A30-36BA-46B7-AB2A-DC0166DFC9FF}" name="COD" dataDxfId="40"/>
    <tableColumn id="2" xr3:uid="{D6F92BFD-46B4-464C-B8AE-87DD92691BCA}" name="TYPE OF MEASURE" dataDxfId="39"/>
    <tableColumn id="41" xr3:uid="{EC243A9A-0424-408D-9F2F-726894741EF9}" name="MAIN CRITERIA" dataDxfId="38"/>
    <tableColumn id="42" xr3:uid="{D5A80FA9-5083-49FB-BED8-0FED58DFE2FC}" name="CRITERION" dataDxfId="37"/>
    <tableColumn id="3" xr3:uid="{DA0C108B-A5FE-4F99-A295-D9C189AF0466}" name="DESCRIPTION" dataDxfId="36"/>
    <tableColumn id="66" xr3:uid="{E83134B5-AF28-410A-8BBF-DA0116CF0E4E}" name="EXAMPLES" dataDxfId="35"/>
    <tableColumn id="4" xr3:uid="{ADBF6F36-7AE0-4CA0-BDA3-D9A2ACBFE000}" name="€" dataDxfId="34"/>
    <tableColumn id="5" xr3:uid="{8FB404F1-4DA9-4E1C-A312-4DDC148A4ED8}" name="€€" dataDxfId="33"/>
    <tableColumn id="6" xr3:uid="{AE169408-C89A-45D0-90EF-F9EB1139F26F}" name="€€€" dataDxfId="32"/>
    <tableColumn id="7" xr3:uid="{F6B2414D-9293-462D-A74A-2975ED586224}" name="Budget" dataDxfId="31">
      <calculatedColumnFormula>IF(M18&lt;&gt;"","€€€", IF(L18&lt;&gt;"","€€", IF(K18&lt;&gt;"","€","-")))</calculatedColumnFormula>
    </tableColumn>
    <tableColumn id="9" xr3:uid="{A002E4AF-B8E1-4D24-9849-DC43640499A8}" name="No risk (0)" dataDxfId="30"/>
    <tableColumn id="10" xr3:uid="{120553BB-E801-4F92-8A12-3380008903BF}" name="Low risk (1)" dataDxfId="29"/>
    <tableColumn id="11" xr3:uid="{9FF06603-784A-40FD-860C-6EB555E08C58}" name="Medium risk (2)" dataDxfId="28"/>
    <tableColumn id="12" xr3:uid="{DC7989A6-4F2F-4A59-9C03-3421E18483CD}" name="High risk (3)" dataDxfId="27"/>
    <tableColumn id="8" xr3:uid="{F90E6AF6-43E2-4308-8D57-93B4AB053CCB}" name="R" dataDxfId="26">
      <calculatedColumnFormula>IF(T_MEASURES[[#This Row],[No risk (0)]]=1,"■","")</calculatedColumnFormula>
    </tableColumn>
    <tableColumn id="37" xr3:uid="{53D6AF9E-3442-455E-804A-BCF5525EAB28}" name="I" dataDxfId="25">
      <calculatedColumnFormula>IF(T_MEASURES[[#This Row],[Low risk (1)]]=1,"■","")</calculatedColumnFormula>
    </tableColumn>
    <tableColumn id="38" xr3:uid="{B2EEA830-47D6-476B-A136-DA9810591593}" name="S" dataDxfId="24">
      <calculatedColumnFormula>IF(T_MEASURES[[#This Row],[Medium risk (2)]]=1,"■","")</calculatedColumnFormula>
    </tableColumn>
    <tableColumn id="39" xr3:uid="{9E9116F3-D230-499E-BEE1-E6801D3D7B08}" name="K" dataDxfId="23">
      <calculatedColumnFormula>IF(T_MEASURES[[#This Row],[High risk (3)]]=1,"■","")</calculatedColumnFormula>
    </tableColumn>
    <tableColumn id="13" xr3:uid="{9C3A90BB-D7B7-4843-8804-580D521F4804}" name="Risk Level" dataDxfId="22">
      <calculatedColumnFormula>IF(R18&lt;&gt;"","4. High (Red)", IF(Q18&lt;&gt;"","3. Medium (Orange)", IF(P18&lt;&gt;"","2. Low (Yellow)","1. No Risk (Green)")))</calculatedColumnFormula>
    </tableColumn>
    <tableColumn id="26" xr3:uid="{156C8DCF-FC8F-46EA-87B0-8ECAA03E32EC}" name="Nº Areas" dataDxfId="21">
      <calculatedColumnFormula>COUNT(T_MEASURES[[#This Row],[Buildings and public facilities]:[Coordination]])</calculatedColumnFormula>
    </tableColumn>
    <tableColumn id="14" xr3:uid="{39B06428-DF5F-4CAB-925A-1F1B2507AC7A}" name="Buildings and public facilities" dataDxfId="20"/>
    <tableColumn id="25" xr3:uid="{E706F2FD-C961-463E-B760-017CCAF51476}" name="Buildings" dataDxfId="19">
      <calculatedColumnFormula>IF(T_MEASURES[[#This Row],[Buildings and public facilities]]=1,"Yes","No")</calculatedColumnFormula>
    </tableColumn>
    <tableColumn id="15" xr3:uid="{A9E0747F-0EDD-4155-AF08-3A990C46DA5B}" name="Urban planning" dataDxfId="18"/>
    <tableColumn id="27" xr3:uid="{E0AD845A-7CC8-48CA-B573-89124C12E6F6}" name="Urban" dataDxfId="17">
      <calculatedColumnFormula>IF(T_MEASURES[[#This Row],[Urban planning]]=1,"Yes","No")</calculatedColumnFormula>
    </tableColumn>
    <tableColumn id="16" xr3:uid="{E48A2099-BAF5-49B8-BBF6-C1A6D446A2A9}" name="Culture and Sports" dataDxfId="16"/>
    <tableColumn id="28" xr3:uid="{C618D409-9DC5-4936-BDFB-8055EAF0F982}" name="Culture" dataDxfId="15">
      <calculatedColumnFormula>IF(T_MEASURES[[#This Row],[Culture and Sports]],"Yes","No")</calculatedColumnFormula>
    </tableColumn>
    <tableColumn id="17" xr3:uid="{26411C15-A8ED-4C60-B190-5BAB20986D32}" name="Tourism" dataDxfId="14"/>
    <tableColumn id="29" xr3:uid="{98AA20B4-6F3E-402C-9970-B64C50F72412}" name="Tourism " dataDxfId="13">
      <calculatedColumnFormula>IF(T_MEASURES[[#This Row],[Tourism]],"Yes","No")</calculatedColumnFormula>
    </tableColumn>
    <tableColumn id="18" xr3:uid="{045C2B54-5A57-46FA-AF0E-EC02C78056F4}" name="Occupational risks" dataDxfId="12"/>
    <tableColumn id="30" xr3:uid="{9845C149-F850-4271-9488-E43733AABF28}" name="Occupational" dataDxfId="11">
      <calculatedColumnFormula>IF(T_MEASURES[[#This Row],[Occupational risks]],"Yes","No")</calculatedColumnFormula>
    </tableColumn>
    <tableColumn id="19" xr3:uid="{85CD98AE-B5A6-4FF3-A82F-D3A6826C0D7B}" name="Education" dataDxfId="10"/>
    <tableColumn id="31" xr3:uid="{DF30B013-3316-4A9A-AD09-FFA0404C68A0}" name="Education " dataDxfId="9">
      <calculatedColumnFormula>IF(T_MEASURES[[#This Row],[Education]],"Yes","No")</calculatedColumnFormula>
    </tableColumn>
    <tableColumn id="20" xr3:uid="{C74248B9-34FD-4F77-96E7-354A5C2EDD3E}" name="Social Services" dataDxfId="8"/>
    <tableColumn id="32" xr3:uid="{CE295A3D-09C8-4506-8339-8A558EF73774}" name="Social" dataDxfId="7">
      <calculatedColumnFormula>IF(T_MEASURES[[#This Row],[Social Services]],"Yes","No")</calculatedColumnFormula>
    </tableColumn>
    <tableColumn id="21" xr3:uid="{504F658F-8383-4A3C-87A6-5B08EF236AA3}" name="Emergency Services and Police" dataDxfId="6"/>
    <tableColumn id="33" xr3:uid="{43825EEB-41AA-499F-80A1-7D25F22304C5}" name="Emergency" dataDxfId="5">
      <calculatedColumnFormula>IF(T_MEASURES[[#This Row],[Emergency Services and Police]],"Yes","No")</calculatedColumnFormula>
    </tableColumn>
    <tableColumn id="22" xr3:uid="{0D484B06-76CC-47A5-95E6-19F201A3592F}" name="Parks and gardens (Urban Green Infrastructure)" dataDxfId="4"/>
    <tableColumn id="34" xr3:uid="{9998E656-3B0F-494D-959B-99DB75E84904}" name="Parks" dataDxfId="3">
      <calculatedColumnFormula>IF(T_MEASURES[[#This Row],[Parks and gardens (Urban Green Infrastructure)]],"Yes","No")</calculatedColumnFormula>
    </tableColumn>
    <tableColumn id="23" xr3:uid="{A4F7DB5D-5409-4BB6-9B2F-FA82DF48355C}" name="Transport" dataDxfId="2"/>
    <tableColumn id="35" xr3:uid="{08783216-1A88-4E9D-AEBF-BC40021E4D7E}" name="Transport " dataDxfId="1">
      <calculatedColumnFormula>IF(T_MEASURES[[#This Row],[Transport]],"Yes","No")</calculatedColumnFormula>
    </tableColumn>
    <tableColumn id="24" xr3:uid="{E821E76E-3031-4753-A169-49FF9E7EDA7A}" name="Coordination" dataDxfId="0"/>
    <tableColumn id="36" xr3:uid="{B6C2C0D3-01DA-4E22-BABE-B6483C7BE9CB}" name="Coordination " dataDxfId="64">
      <calculatedColumnFormula>IF(T_MEASURES[[#This Row],[Coordination]],"Yes","No")</calculatedColumnFormula>
    </tableColumn>
    <tableColumn id="40" xr3:uid="{7B9EAE25-FECB-4EE1-A7F7-CC0CF0E00332}" name="&lt;5.000" dataDxfId="63"/>
    <tableColumn id="43" xr3:uid="{8F21BFAD-456A-49F2-B67D-E00CCD5F14AB}" name="5.001-20.000" dataDxfId="62"/>
    <tableColumn id="44" xr3:uid="{10FD3DC1-39CB-4757-89E1-EE44CB09E5CA}" name="20.001-50.000" dataDxfId="61"/>
    <tableColumn id="45" xr3:uid="{7E77C21B-6F4B-4A9C-9E9D-48138781DFE4}" name="50.001-100.000" dataDxfId="60"/>
    <tableColumn id="46" xr3:uid="{F7084CDD-FF76-48EE-916F-6A297C609E45}" name="&gt;100.000" dataDxfId="59"/>
    <tableColumn id="47" xr3:uid="{1B8ACCB3-1FA6-43C0-B308-3F0857DD017C}" name="Apply size" dataDxfId="58">
      <calculatedColumnFormula>SUMPRODUCT($AT$15:$AX$15,T_MEASURES[[#This Row],[&lt;5.000]:[&gt;100.000]])</calculatedColumnFormula>
    </tableColumn>
    <tableColumn id="57" xr3:uid="{8CDCB099-1BFC-4C38-B539-D16F2BD9BBB7}" name="Health or social care centers" dataDxfId="57"/>
    <tableColumn id="58" xr3:uid="{D0DA6D38-574D-464F-A28A-2ED2F2177C30}" name="Public buildings" dataDxfId="56"/>
    <tableColumn id="59" xr3:uid="{7721378D-493D-4E22-A3DF-B06484D18A98}" name="Public swimming pools" dataDxfId="55"/>
    <tableColumn id="60" xr3:uid="{3F6C4AAD-F2AF-433C-B8D6-BBAB1A2A0B39}" name="Beaches" dataDxfId="54"/>
    <tableColumn id="61" xr3:uid="{08372F9E-E3BB-42A8-92B7-405C19992894}" name="Rivers or lakes" dataDxfId="53"/>
    <tableColumn id="62" xr3:uid="{971C27D6-648E-475A-BFA0-C69E2A589D92}" name="Public transport" dataDxfId="52"/>
    <tableColumn id="63" xr3:uid="{2099A82A-6922-4677-93F8-CFA7733D460E}" name="Schools / Educational centers" dataDxfId="51"/>
    <tableColumn id="64" xr3:uid="{1A301857-C78C-4FE2-B7C2-1D82A3005A65}" name="Total infrastructure" dataDxfId="50">
      <calculatedColumnFormula array="1">SUMPRODUCT(--((T_MEASURES[[#This Row],[Health or social care centers]:[Schools / Educational centers]] + $AZ$15:$BF$15)&gt;0))</calculatedColumnFormula>
    </tableColumn>
    <tableColumn id="48" xr3:uid="{C9DA8346-75AD-4FB2-A374-ADC03FAD0F75}" name="C1_Urban Cooling" dataDxfId="49"/>
    <tableColumn id="49" xr3:uid="{F066851C-2CA5-4354-8507-C80BF46CEA54}" name="C2_Green Blue" dataDxfId="48"/>
    <tableColumn id="50" xr3:uid="{275540AA-CFF4-4FC2-BCD4-647E77655182}" name="C3_Vulnerable" dataDxfId="47"/>
    <tableColumn id="51" xr3:uid="{C0B5BA83-DAA0-46B3-9459-A06527109DA6}" name="C4_Population" dataDxfId="46"/>
    <tableColumn id="52" xr3:uid="{DA3A3D50-DA1A-400D-B08F-3545C5CF7A89}" name="C5_Cost" dataDxfId="45"/>
    <tableColumn id="53" xr3:uid="{A2401B82-5CF2-49C1-BA07-1EF3BE5EC74D}" name="C6_Funding" dataDxfId="44"/>
    <tableColumn id="54" xr3:uid="{7A0F7F3F-BACD-4FED-ABB7-4C31374100F2}" name="C7_Feasibility" dataDxfId="43"/>
    <tableColumn id="55" xr3:uid="{B6E72D92-2CC4-4E16-94DF-14FD200F45C7}" name="C8_Time" dataDxfId="42"/>
    <tableColumn id="56" xr3:uid="{EF9BA592-6ABB-47BF-9E2B-B7F3E9A54B27}" name="Weight Criterion" dataDxfId="41">
      <calculatedColumnFormula array="1">T_MEASURES[[#This Row],[Apply size]]*(SUMPRODUCT(T_MEASURES[[#This Row],[C1_Urban Cooling]:[C8_Time]],TRANSPOSE('2.WEIGHTS'!$L$12:$L$19))+(ROW(C18)-ROW($C$18)+1)*0.0000000001)*100</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4CCB6-A105-4995-949C-46F81DEE6A8D}">
  <sheetPr codeName="Hoja1">
    <tabColor theme="0"/>
  </sheetPr>
  <dimension ref="A1:L51"/>
  <sheetViews>
    <sheetView showGridLines="0" showRowColHeaders="0" zoomScaleNormal="100" workbookViewId="0">
      <selection activeCell="D11" sqref="D11:H13"/>
    </sheetView>
  </sheetViews>
  <sheetFormatPr baseColWidth="10" defaultColWidth="0" defaultRowHeight="14.4" zeroHeight="1" x14ac:dyDescent="0.3"/>
  <cols>
    <col min="1" max="1" width="2" customWidth="1"/>
    <col min="2" max="2" width="3.21875" customWidth="1"/>
    <col min="3" max="3" width="8.77734375" customWidth="1"/>
    <col min="4" max="4" width="19.88671875" customWidth="1"/>
    <col min="5" max="7" width="11.5546875" customWidth="1"/>
    <col min="8" max="8" width="8.33203125" customWidth="1"/>
    <col min="9" max="9" width="3.21875" customWidth="1"/>
    <col min="10" max="10" width="2.109375" customWidth="1"/>
    <col min="11" max="11" width="118.33203125" customWidth="1"/>
    <col min="12" max="12" width="2.109375" customWidth="1"/>
    <col min="13" max="16384" width="11.5546875" hidden="1"/>
  </cols>
  <sheetData>
    <row r="1" spans="1:12" x14ac:dyDescent="0.3">
      <c r="A1" s="59"/>
      <c r="B1" s="59"/>
      <c r="C1" s="59"/>
      <c r="D1" s="59"/>
      <c r="E1" s="59"/>
      <c r="F1" s="59"/>
      <c r="G1" s="59"/>
      <c r="H1" s="59"/>
      <c r="I1" s="59"/>
      <c r="J1" s="59"/>
      <c r="K1" s="59"/>
      <c r="L1" s="59"/>
    </row>
    <row r="2" spans="1:12" ht="14.4" customHeight="1" x14ac:dyDescent="0.3">
      <c r="A2" s="59"/>
      <c r="B2" s="111"/>
      <c r="C2" s="111"/>
      <c r="D2" s="111"/>
      <c r="E2" s="111"/>
      <c r="F2" s="111"/>
      <c r="G2" s="111"/>
      <c r="H2" s="111"/>
      <c r="I2" s="111"/>
      <c r="J2" s="59"/>
      <c r="K2" s="109" t="s">
        <v>430</v>
      </c>
      <c r="L2" s="59"/>
    </row>
    <row r="3" spans="1:12" ht="14.4" customHeight="1" x14ac:dyDescent="0.3">
      <c r="A3" s="59"/>
      <c r="B3" s="111"/>
      <c r="C3" s="111"/>
      <c r="D3" s="111"/>
      <c r="E3" s="111"/>
      <c r="F3" s="111"/>
      <c r="G3" s="111"/>
      <c r="H3" s="111"/>
      <c r="I3" s="111"/>
      <c r="J3" s="59"/>
      <c r="K3" s="110"/>
      <c r="L3" s="59"/>
    </row>
    <row r="4" spans="1:12" ht="14.4" customHeight="1" x14ac:dyDescent="0.3">
      <c r="A4" s="59"/>
      <c r="B4" s="111"/>
      <c r="C4" s="111"/>
      <c r="D4" s="111"/>
      <c r="E4" s="111"/>
      <c r="F4" s="111"/>
      <c r="G4" s="111"/>
      <c r="H4" s="111"/>
      <c r="I4" s="111"/>
      <c r="J4" s="59"/>
      <c r="K4" s="110"/>
      <c r="L4" s="59"/>
    </row>
    <row r="5" spans="1:12" ht="14.4" customHeight="1" x14ac:dyDescent="0.3">
      <c r="A5" s="59"/>
      <c r="B5" s="111"/>
      <c r="C5" s="111"/>
      <c r="D5" s="111"/>
      <c r="E5" s="111"/>
      <c r="F5" s="111"/>
      <c r="G5" s="111"/>
      <c r="H5" s="111"/>
      <c r="I5" s="111"/>
      <c r="J5" s="59"/>
      <c r="K5" s="110"/>
      <c r="L5" s="59"/>
    </row>
    <row r="6" spans="1:12" ht="14.4" customHeight="1" x14ac:dyDescent="0.3">
      <c r="A6" s="59"/>
      <c r="B6" s="118" t="s">
        <v>435</v>
      </c>
      <c r="C6" s="118"/>
      <c r="D6" s="118"/>
      <c r="E6" s="118"/>
      <c r="F6" s="118"/>
      <c r="G6" s="118"/>
      <c r="H6" s="118"/>
      <c r="I6" s="118"/>
      <c r="J6" s="59"/>
      <c r="K6" s="110"/>
      <c r="L6" s="59"/>
    </row>
    <row r="7" spans="1:12" ht="14.4" customHeight="1" x14ac:dyDescent="0.3">
      <c r="A7" s="59"/>
      <c r="B7" s="118"/>
      <c r="C7" s="118"/>
      <c r="D7" s="118"/>
      <c r="E7" s="118"/>
      <c r="F7" s="118"/>
      <c r="G7" s="118"/>
      <c r="H7" s="118"/>
      <c r="I7" s="118"/>
      <c r="J7" s="59"/>
      <c r="K7" s="110"/>
      <c r="L7" s="59"/>
    </row>
    <row r="8" spans="1:12" ht="14.4" customHeight="1" x14ac:dyDescent="0.3">
      <c r="A8" s="59"/>
      <c r="B8" s="118"/>
      <c r="C8" s="118"/>
      <c r="D8" s="118"/>
      <c r="E8" s="118"/>
      <c r="F8" s="118"/>
      <c r="G8" s="118"/>
      <c r="H8" s="118"/>
      <c r="I8" s="118"/>
      <c r="J8" s="59"/>
      <c r="K8" s="110"/>
      <c r="L8" s="59"/>
    </row>
    <row r="9" spans="1:12" ht="14.4" customHeight="1" x14ac:dyDescent="0.3">
      <c r="A9" s="59"/>
      <c r="B9" s="118"/>
      <c r="C9" s="118"/>
      <c r="D9" s="118"/>
      <c r="E9" s="118"/>
      <c r="F9" s="118"/>
      <c r="G9" s="118"/>
      <c r="H9" s="118"/>
      <c r="I9" s="118"/>
      <c r="J9" s="59"/>
      <c r="K9" s="110"/>
      <c r="L9" s="59"/>
    </row>
    <row r="10" spans="1:12" x14ac:dyDescent="0.3">
      <c r="A10" s="59"/>
      <c r="B10" s="60"/>
      <c r="C10" s="60"/>
      <c r="D10" s="60"/>
      <c r="E10" s="60"/>
      <c r="F10" s="60"/>
      <c r="G10" s="60"/>
      <c r="H10" s="60"/>
      <c r="I10" s="60"/>
      <c r="J10" s="59"/>
      <c r="K10" s="110"/>
      <c r="L10" s="59"/>
    </row>
    <row r="11" spans="1:12" ht="14.4" customHeight="1" x14ac:dyDescent="0.3">
      <c r="A11" s="59"/>
      <c r="B11" s="60"/>
      <c r="C11" s="112" t="s">
        <v>0</v>
      </c>
      <c r="D11" s="113" t="s">
        <v>1</v>
      </c>
      <c r="E11" s="113"/>
      <c r="F11" s="113"/>
      <c r="G11" s="113"/>
      <c r="H11" s="113"/>
      <c r="I11" s="60"/>
      <c r="J11" s="59"/>
      <c r="K11" s="110"/>
      <c r="L11" s="59"/>
    </row>
    <row r="12" spans="1:12" ht="14.4" customHeight="1" x14ac:dyDescent="0.3">
      <c r="A12" s="59"/>
      <c r="B12" s="60"/>
      <c r="C12" s="112"/>
      <c r="D12" s="113"/>
      <c r="E12" s="113"/>
      <c r="F12" s="113"/>
      <c r="G12" s="113"/>
      <c r="H12" s="113"/>
      <c r="I12" s="60"/>
      <c r="J12" s="59"/>
      <c r="K12" s="110"/>
      <c r="L12" s="59"/>
    </row>
    <row r="13" spans="1:12" ht="14.4" customHeight="1" x14ac:dyDescent="0.3">
      <c r="A13" s="59"/>
      <c r="B13" s="60"/>
      <c r="C13" s="112"/>
      <c r="D13" s="113"/>
      <c r="E13" s="113"/>
      <c r="F13" s="113"/>
      <c r="G13" s="113"/>
      <c r="H13" s="113"/>
      <c r="I13" s="60"/>
      <c r="J13" s="59"/>
      <c r="K13" s="110"/>
      <c r="L13" s="59"/>
    </row>
    <row r="14" spans="1:12" x14ac:dyDescent="0.3">
      <c r="A14" s="59"/>
      <c r="B14" s="60"/>
      <c r="C14" s="60"/>
      <c r="D14" s="60"/>
      <c r="E14" s="60"/>
      <c r="F14" s="60"/>
      <c r="G14" s="60"/>
      <c r="H14" s="60"/>
      <c r="I14" s="60"/>
      <c r="J14" s="59"/>
      <c r="K14" s="110"/>
      <c r="L14" s="59"/>
    </row>
    <row r="15" spans="1:12" ht="14.4" customHeight="1" x14ac:dyDescent="0.3">
      <c r="A15" s="59"/>
      <c r="B15" s="60"/>
      <c r="C15" s="116" t="s">
        <v>2</v>
      </c>
      <c r="D15" s="117" t="s">
        <v>3</v>
      </c>
      <c r="E15" s="117"/>
      <c r="F15" s="117"/>
      <c r="G15" s="117"/>
      <c r="H15" s="117"/>
      <c r="I15" s="60"/>
      <c r="J15" s="59"/>
      <c r="K15" s="110"/>
      <c r="L15" s="59"/>
    </row>
    <row r="16" spans="1:12" ht="14.4" customHeight="1" x14ac:dyDescent="0.3">
      <c r="A16" s="59"/>
      <c r="B16" s="60"/>
      <c r="C16" s="116"/>
      <c r="D16" s="117"/>
      <c r="E16" s="117"/>
      <c r="F16" s="117"/>
      <c r="G16" s="117"/>
      <c r="H16" s="117"/>
      <c r="I16" s="60"/>
      <c r="J16" s="59"/>
      <c r="K16" s="110"/>
      <c r="L16" s="59"/>
    </row>
    <row r="17" spans="1:12" ht="14.4" customHeight="1" x14ac:dyDescent="0.3">
      <c r="A17" s="59"/>
      <c r="B17" s="60"/>
      <c r="C17" s="116"/>
      <c r="D17" s="117"/>
      <c r="E17" s="117"/>
      <c r="F17" s="117"/>
      <c r="G17" s="117"/>
      <c r="H17" s="117"/>
      <c r="I17" s="60"/>
      <c r="J17" s="59"/>
      <c r="K17" s="110"/>
      <c r="L17" s="59"/>
    </row>
    <row r="18" spans="1:12" x14ac:dyDescent="0.3">
      <c r="A18" s="59"/>
      <c r="B18" s="60"/>
      <c r="C18" s="60"/>
      <c r="D18" s="60"/>
      <c r="E18" s="60"/>
      <c r="F18" s="60"/>
      <c r="G18" s="60"/>
      <c r="H18" s="60"/>
      <c r="I18" s="60"/>
      <c r="J18" s="59"/>
      <c r="K18" s="110"/>
      <c r="L18" s="59"/>
    </row>
    <row r="19" spans="1:12" ht="14.4" customHeight="1" x14ac:dyDescent="0.3">
      <c r="A19" s="59"/>
      <c r="B19" s="60"/>
      <c r="C19" s="112" t="s">
        <v>4</v>
      </c>
      <c r="D19" s="113" t="s">
        <v>5</v>
      </c>
      <c r="E19" s="113"/>
      <c r="F19" s="113"/>
      <c r="G19" s="113"/>
      <c r="H19" s="113"/>
      <c r="I19" s="60"/>
      <c r="J19" s="59"/>
      <c r="K19" s="110"/>
      <c r="L19" s="59"/>
    </row>
    <row r="20" spans="1:12" ht="14.4" customHeight="1" x14ac:dyDescent="0.3">
      <c r="A20" s="59"/>
      <c r="B20" s="60"/>
      <c r="C20" s="112"/>
      <c r="D20" s="113"/>
      <c r="E20" s="113"/>
      <c r="F20" s="113"/>
      <c r="G20" s="113"/>
      <c r="H20" s="113"/>
      <c r="I20" s="60"/>
      <c r="J20" s="59"/>
      <c r="K20" s="110"/>
      <c r="L20" s="59"/>
    </row>
    <row r="21" spans="1:12" ht="14.4" customHeight="1" x14ac:dyDescent="0.3">
      <c r="A21" s="59"/>
      <c r="B21" s="60"/>
      <c r="C21" s="112"/>
      <c r="D21" s="113"/>
      <c r="E21" s="113"/>
      <c r="F21" s="113"/>
      <c r="G21" s="113"/>
      <c r="H21" s="113"/>
      <c r="I21" s="60"/>
      <c r="J21" s="59"/>
      <c r="K21" s="110"/>
      <c r="L21" s="59"/>
    </row>
    <row r="22" spans="1:12" x14ac:dyDescent="0.3">
      <c r="A22" s="59"/>
      <c r="B22" s="60"/>
      <c r="C22" s="60"/>
      <c r="D22" s="60"/>
      <c r="E22" s="60"/>
      <c r="F22" s="60"/>
      <c r="G22" s="60"/>
      <c r="H22" s="60"/>
      <c r="I22" s="60"/>
      <c r="J22" s="59"/>
      <c r="K22" s="110"/>
      <c r="L22" s="59"/>
    </row>
    <row r="23" spans="1:12" ht="14.4" customHeight="1" x14ac:dyDescent="0.3">
      <c r="A23" s="59"/>
      <c r="B23" s="60"/>
      <c r="C23" s="114" t="s">
        <v>6</v>
      </c>
      <c r="D23" s="115" t="s">
        <v>434</v>
      </c>
      <c r="E23" s="115"/>
      <c r="F23" s="115"/>
      <c r="G23" s="115"/>
      <c r="H23" s="115"/>
      <c r="I23" s="60"/>
      <c r="J23" s="59"/>
      <c r="K23" s="110"/>
      <c r="L23" s="59"/>
    </row>
    <row r="24" spans="1:12" x14ac:dyDescent="0.3">
      <c r="A24" s="59"/>
      <c r="B24" s="60"/>
      <c r="C24" s="114"/>
      <c r="D24" s="115"/>
      <c r="E24" s="115"/>
      <c r="F24" s="115"/>
      <c r="G24" s="115"/>
      <c r="H24" s="115"/>
      <c r="I24" s="60"/>
      <c r="J24" s="59"/>
      <c r="K24" s="110"/>
      <c r="L24" s="59"/>
    </row>
    <row r="25" spans="1:12" x14ac:dyDescent="0.3">
      <c r="A25" s="59"/>
      <c r="B25" s="60"/>
      <c r="C25" s="114"/>
      <c r="D25" s="115"/>
      <c r="E25" s="115"/>
      <c r="F25" s="115"/>
      <c r="G25" s="115"/>
      <c r="H25" s="115"/>
      <c r="I25" s="60"/>
      <c r="J25" s="59"/>
      <c r="K25" s="110"/>
      <c r="L25" s="59"/>
    </row>
    <row r="26" spans="1:12" x14ac:dyDescent="0.3">
      <c r="A26" s="59"/>
      <c r="B26" s="60"/>
      <c r="C26" s="60"/>
      <c r="D26" s="60"/>
      <c r="E26" s="60"/>
      <c r="F26" s="60"/>
      <c r="G26" s="60"/>
      <c r="H26" s="60"/>
      <c r="I26" s="60"/>
      <c r="J26" s="59"/>
      <c r="K26" s="110"/>
      <c r="L26" s="59"/>
    </row>
    <row r="27" spans="1:12" ht="14.4" customHeight="1" x14ac:dyDescent="0.3">
      <c r="A27" s="59"/>
      <c r="B27" s="59"/>
      <c r="C27" s="59"/>
      <c r="D27" s="59"/>
      <c r="E27" s="59"/>
      <c r="F27" s="59"/>
      <c r="G27" s="59"/>
      <c r="H27" s="59"/>
      <c r="I27" s="59"/>
      <c r="J27" s="59"/>
      <c r="K27" s="59"/>
      <c r="L27" s="59"/>
    </row>
    <row r="33" customFormat="1" hidden="1" x14ac:dyDescent="0.3"/>
    <row r="34" customFormat="1" hidden="1" x14ac:dyDescent="0.3"/>
    <row r="35" customFormat="1" hidden="1" x14ac:dyDescent="0.3"/>
    <row r="36" customFormat="1" hidden="1" x14ac:dyDescent="0.3"/>
    <row r="37" customFormat="1" hidden="1" x14ac:dyDescent="0.3"/>
    <row r="38" customFormat="1" hidden="1" x14ac:dyDescent="0.3"/>
    <row r="39" customFormat="1" hidden="1" x14ac:dyDescent="0.3"/>
    <row r="40" customFormat="1" hidden="1" x14ac:dyDescent="0.3"/>
    <row r="41" customFormat="1" hidden="1" x14ac:dyDescent="0.3"/>
    <row r="42" customFormat="1" hidden="1" x14ac:dyDescent="0.3"/>
    <row r="43" customFormat="1" hidden="1" x14ac:dyDescent="0.3"/>
    <row r="44" customFormat="1" hidden="1" x14ac:dyDescent="0.3"/>
    <row r="45" customFormat="1" hidden="1" x14ac:dyDescent="0.3"/>
    <row r="46" customFormat="1" hidden="1" x14ac:dyDescent="0.3"/>
    <row r="47" customFormat="1" hidden="1" x14ac:dyDescent="0.3"/>
    <row r="48" customFormat="1" hidden="1" x14ac:dyDescent="0.3"/>
    <row r="49" customFormat="1" hidden="1" x14ac:dyDescent="0.3"/>
    <row r="50" customFormat="1" hidden="1" x14ac:dyDescent="0.3"/>
    <row r="51" customFormat="1" hidden="1" x14ac:dyDescent="0.3"/>
  </sheetData>
  <sheetProtection sheet="1" selectLockedCells="1"/>
  <mergeCells count="11">
    <mergeCell ref="K2:K26"/>
    <mergeCell ref="B2:I5"/>
    <mergeCell ref="C19:C21"/>
    <mergeCell ref="D19:H21"/>
    <mergeCell ref="C23:C25"/>
    <mergeCell ref="D23:H25"/>
    <mergeCell ref="C11:C13"/>
    <mergeCell ref="D11:H13"/>
    <mergeCell ref="C15:C17"/>
    <mergeCell ref="D15:H17"/>
    <mergeCell ref="B6:I9"/>
  </mergeCells>
  <hyperlinks>
    <hyperlink ref="C15:H17" location="PONDERACIONES!A1" display="2." xr:uid="{02B14A0B-C07D-4AE5-B636-32E26DC03753}"/>
    <hyperlink ref="C19:H21" location="RESULTADOS!A1" display="3." xr:uid="{8F6CD20B-5EA0-4D3D-B1E4-9FDAC153E502}"/>
    <hyperlink ref="C23:H25" location="RESULTADOS!A1" display="3." xr:uid="{3D9757D3-78E1-4B91-8CEF-1818930207CC}"/>
    <hyperlink ref="C23:C25" location="'4.CATALOGUE_OF_MEASURES'!A1" display="4." xr:uid="{4C4DB761-FD3B-437D-BE33-EEE1FDC5022C}"/>
    <hyperlink ref="D23:H25" location="'4.CATALOGUE_OF_MEASURES'!A1" display="'4.CATALOGUE_OF_MEASURES'!A1" xr:uid="{C77D1D5E-027D-4639-BA39-65C2F0BA0901}"/>
    <hyperlink ref="D11:H13" location="'1.MUNICIPAL_PROFILE'!A1" display="'1.MUNICIPAL_PROFILE'!A1" xr:uid="{7B876FF0-3A79-49BF-A487-8008439264CB}"/>
    <hyperlink ref="C19:C21" location="'3.RESULTS'!A1" display="3." xr:uid="{8EFFF12C-865A-46F6-9730-3D7E85476990}"/>
    <hyperlink ref="D19:H21" location="'3.RESULTS'!A1" display="'3.RESULTS'!A1" xr:uid="{3CA47289-6EC3-4F1E-A2DF-6F1897BAFA0A}"/>
    <hyperlink ref="D15:H17" location="'2.WEIGHTS'!A1" display="'2.WEIGHTS'!A1" xr:uid="{08E702CF-7B2C-4817-8C64-9BE71D854D09}"/>
    <hyperlink ref="C15:C17" location="'2.WEIGHTS'!A1" display="2." xr:uid="{4412E7C6-3528-41A8-A501-B36F687E6C4F}"/>
    <hyperlink ref="C11:C13" location="'1.MUNICIPAL_PROFILE'!A1" display="1." xr:uid="{A95DE327-A413-4E05-B35E-F96C8B79FFDE}"/>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3D55-D7FA-462E-8E23-783EC9E403B2}">
  <sheetPr codeName="Hoja2">
    <tabColor rgb="FF00483E"/>
  </sheetPr>
  <dimension ref="A1:O24"/>
  <sheetViews>
    <sheetView showGridLines="0" showRowColHeaders="0" zoomScaleNormal="100" workbookViewId="0">
      <selection activeCell="F16" sqref="F16"/>
    </sheetView>
  </sheetViews>
  <sheetFormatPr baseColWidth="10" defaultColWidth="0" defaultRowHeight="14.4" zeroHeight="1" x14ac:dyDescent="0.3"/>
  <cols>
    <col min="1" max="1" width="10.6640625" style="5" customWidth="1"/>
    <col min="2" max="2" width="2" style="5" customWidth="1"/>
    <col min="3" max="3" width="9.109375" style="5" customWidth="1"/>
    <col min="4" max="4" width="20.6640625" style="5" customWidth="1"/>
    <col min="5" max="5" width="11.5546875" style="5" customWidth="1"/>
    <col min="6" max="6" width="19" style="5" bestFit="1" customWidth="1"/>
    <col min="7" max="7" width="4.6640625" style="5" customWidth="1"/>
    <col min="8" max="8" width="24.44140625" style="5" customWidth="1"/>
    <col min="9" max="9" width="19" style="5" customWidth="1"/>
    <col min="10" max="10" width="9.109375" style="5" customWidth="1"/>
    <col min="11" max="11" width="2" style="5" customWidth="1"/>
    <col min="12" max="15" width="11.5546875" style="5" hidden="1" customWidth="1"/>
    <col min="16" max="16384" width="0" style="5" hidden="1"/>
  </cols>
  <sheetData>
    <row r="1" spans="1:11" x14ac:dyDescent="0.3">
      <c r="A1" s="43"/>
      <c r="B1" s="48"/>
      <c r="C1" s="48"/>
      <c r="D1" s="48"/>
      <c r="E1" s="48"/>
      <c r="F1" s="48"/>
      <c r="G1" s="48"/>
      <c r="H1" s="48"/>
      <c r="I1" s="48"/>
      <c r="J1" s="48"/>
      <c r="K1" s="48"/>
    </row>
    <row r="2" spans="1:11" ht="14.4" customHeight="1" x14ac:dyDescent="0.3">
      <c r="A2" s="43"/>
      <c r="B2" s="48"/>
      <c r="C2" s="62"/>
      <c r="D2" s="63"/>
      <c r="E2" s="64"/>
      <c r="F2" s="64"/>
      <c r="G2" s="119" t="s">
        <v>7</v>
      </c>
      <c r="H2" s="119"/>
      <c r="I2" s="119"/>
      <c r="J2" s="119"/>
      <c r="K2" s="48"/>
    </row>
    <row r="3" spans="1:11" ht="14.4" customHeight="1" x14ac:dyDescent="0.3">
      <c r="A3" s="43"/>
      <c r="B3" s="48"/>
      <c r="C3" s="62"/>
      <c r="D3" s="63"/>
      <c r="E3" s="64"/>
      <c r="F3" s="64"/>
      <c r="G3" s="119"/>
      <c r="H3" s="119"/>
      <c r="I3" s="119"/>
      <c r="J3" s="119"/>
      <c r="K3" s="48"/>
    </row>
    <row r="4" spans="1:11" ht="14.4" customHeight="1" x14ac:dyDescent="0.3">
      <c r="A4" s="43"/>
      <c r="B4" s="48"/>
      <c r="C4" s="62"/>
      <c r="D4" s="63"/>
      <c r="E4" s="64"/>
      <c r="F4" s="64"/>
      <c r="G4" s="119"/>
      <c r="H4" s="119"/>
      <c r="I4" s="119"/>
      <c r="J4" s="119"/>
      <c r="K4" s="48"/>
    </row>
    <row r="5" spans="1:11" ht="27.6" customHeight="1" x14ac:dyDescent="0.45">
      <c r="A5" s="43"/>
      <c r="B5" s="48"/>
      <c r="C5" s="40" t="s">
        <v>8</v>
      </c>
      <c r="D5" s="39"/>
      <c r="E5" s="41"/>
      <c r="F5" s="39"/>
      <c r="G5" s="39"/>
      <c r="H5" s="39"/>
      <c r="I5" s="39"/>
      <c r="J5" s="39"/>
      <c r="K5" s="48"/>
    </row>
    <row r="6" spans="1:11" ht="15" customHeight="1" x14ac:dyDescent="0.45">
      <c r="A6" s="43"/>
      <c r="B6" s="48"/>
      <c r="C6" s="42" t="s">
        <v>9</v>
      </c>
      <c r="D6" s="39"/>
      <c r="E6" s="41"/>
      <c r="F6" s="39"/>
      <c r="G6" s="39"/>
      <c r="H6" s="39"/>
      <c r="I6" s="39"/>
      <c r="J6" s="39"/>
      <c r="K6" s="48"/>
    </row>
    <row r="7" spans="1:11" ht="14.4" customHeight="1" x14ac:dyDescent="0.3">
      <c r="A7" s="43"/>
      <c r="B7" s="48"/>
      <c r="C7" s="61"/>
      <c r="D7" s="39"/>
      <c r="E7" s="39"/>
      <c r="F7" s="39"/>
      <c r="G7" s="39"/>
      <c r="H7" s="39"/>
      <c r="I7" s="39"/>
      <c r="J7" s="39"/>
      <c r="K7" s="48"/>
    </row>
    <row r="8" spans="1:11" ht="15.6" customHeight="1" x14ac:dyDescent="0.3">
      <c r="A8" s="43"/>
      <c r="B8" s="48"/>
      <c r="C8" s="39"/>
      <c r="D8" s="133" t="s">
        <v>10</v>
      </c>
      <c r="E8" s="133"/>
      <c r="F8" s="107" t="s">
        <v>11</v>
      </c>
      <c r="G8" s="39"/>
      <c r="H8" s="126" t="s">
        <v>12</v>
      </c>
      <c r="I8" s="127"/>
      <c r="J8" s="39"/>
      <c r="K8" s="48"/>
    </row>
    <row r="9" spans="1:11" ht="14.4" customHeight="1" x14ac:dyDescent="0.3">
      <c r="A9" s="43"/>
      <c r="B9" s="48"/>
      <c r="C9" s="39"/>
      <c r="D9" s="131" t="s">
        <v>13</v>
      </c>
      <c r="E9" s="132"/>
      <c r="F9" s="66" t="s">
        <v>14</v>
      </c>
      <c r="G9" s="39"/>
      <c r="H9" s="120" t="s">
        <v>15</v>
      </c>
      <c r="I9" s="121"/>
      <c r="J9" s="39"/>
      <c r="K9" s="48"/>
    </row>
    <row r="10" spans="1:11" ht="14.4" customHeight="1" x14ac:dyDescent="0.3">
      <c r="A10" s="43"/>
      <c r="B10" s="48"/>
      <c r="C10" s="39"/>
      <c r="D10" s="131" t="s">
        <v>16</v>
      </c>
      <c r="E10" s="132"/>
      <c r="F10" s="66"/>
      <c r="G10" s="39"/>
      <c r="H10" s="122"/>
      <c r="I10" s="123"/>
      <c r="J10" s="39"/>
      <c r="K10" s="48"/>
    </row>
    <row r="11" spans="1:11" ht="14.4" customHeight="1" x14ac:dyDescent="0.3">
      <c r="A11" s="43"/>
      <c r="B11" s="48"/>
      <c r="C11" s="39"/>
      <c r="D11" s="131" t="s">
        <v>17</v>
      </c>
      <c r="E11" s="132"/>
      <c r="F11" s="79">
        <v>300000</v>
      </c>
      <c r="G11" s="39"/>
      <c r="H11" s="122"/>
      <c r="I11" s="123"/>
      <c r="J11" s="39"/>
      <c r="K11" s="48"/>
    </row>
    <row r="12" spans="1:11" ht="14.4" customHeight="1" x14ac:dyDescent="0.3">
      <c r="A12" s="43"/>
      <c r="B12" s="48"/>
      <c r="C12" s="39"/>
      <c r="D12" s="131" t="s">
        <v>18</v>
      </c>
      <c r="E12" s="132"/>
      <c r="F12" s="78" t="str">
        <f>IF(F11="","",IF(F11&lt;=5000,"&lt;5.000",IF(F11&lt;=20000,"5.001–20.000",IF(F11&lt;=50000,"20.001–50.000",IF(F11&lt;=100000,"50.001–100.000","&gt;100.000")))))</f>
        <v>&gt;100.000</v>
      </c>
      <c r="G12" s="39"/>
      <c r="H12" s="124"/>
      <c r="I12" s="125"/>
      <c r="J12" s="39"/>
      <c r="K12" s="48"/>
    </row>
    <row r="13" spans="1:11" ht="14.4" customHeight="1" x14ac:dyDescent="0.3">
      <c r="A13" s="43"/>
      <c r="B13" s="48"/>
      <c r="C13" s="39"/>
      <c r="D13" s="39"/>
      <c r="E13" s="39"/>
      <c r="F13" s="39"/>
      <c r="G13" s="39"/>
      <c r="H13" s="39"/>
      <c r="I13" s="39"/>
      <c r="J13" s="39"/>
      <c r="K13" s="48"/>
    </row>
    <row r="14" spans="1:11" ht="31.2" customHeight="1" x14ac:dyDescent="0.3">
      <c r="A14" s="43"/>
      <c r="B14" s="48"/>
      <c r="C14" s="39"/>
      <c r="D14" s="128" t="s">
        <v>19</v>
      </c>
      <c r="E14" s="129"/>
      <c r="F14" s="130"/>
      <c r="G14" s="39"/>
      <c r="H14" s="39"/>
      <c r="I14" s="39"/>
      <c r="J14" s="39"/>
      <c r="K14" s="48"/>
    </row>
    <row r="15" spans="1:11" ht="15.6" customHeight="1" x14ac:dyDescent="0.3">
      <c r="A15" s="43"/>
      <c r="B15" s="48"/>
      <c r="C15" s="39"/>
      <c r="D15" s="134" t="s">
        <v>20</v>
      </c>
      <c r="E15" s="135"/>
      <c r="F15" s="65" t="s">
        <v>21</v>
      </c>
      <c r="G15" s="39"/>
      <c r="H15" s="39"/>
      <c r="I15" s="39"/>
      <c r="J15" s="39"/>
      <c r="K15" s="48"/>
    </row>
    <row r="16" spans="1:11" ht="15.6" customHeight="1" x14ac:dyDescent="0.3">
      <c r="A16" s="43"/>
      <c r="B16" s="48"/>
      <c r="C16" s="39"/>
      <c r="D16" s="131" t="s">
        <v>22</v>
      </c>
      <c r="E16" s="132"/>
      <c r="F16" s="66" t="s">
        <v>23</v>
      </c>
      <c r="G16" s="39"/>
      <c r="H16" s="39"/>
      <c r="I16" s="39"/>
      <c r="J16" s="39"/>
      <c r="K16" s="48"/>
    </row>
    <row r="17" spans="1:11" ht="14.4" customHeight="1" x14ac:dyDescent="0.3">
      <c r="A17" s="43"/>
      <c r="B17" s="48"/>
      <c r="C17" s="39"/>
      <c r="D17" s="131" t="s">
        <v>24</v>
      </c>
      <c r="E17" s="132"/>
      <c r="F17" s="66" t="s">
        <v>23</v>
      </c>
      <c r="G17" s="39"/>
      <c r="H17" s="39"/>
      <c r="I17" s="39"/>
      <c r="J17" s="39"/>
      <c r="K17" s="48"/>
    </row>
    <row r="18" spans="1:11" ht="15.6" customHeight="1" x14ac:dyDescent="0.3">
      <c r="A18" s="43"/>
      <c r="B18" s="48"/>
      <c r="C18" s="39"/>
      <c r="D18" s="131" t="s">
        <v>25</v>
      </c>
      <c r="E18" s="132"/>
      <c r="F18" s="66" t="s">
        <v>23</v>
      </c>
      <c r="G18" s="39"/>
      <c r="H18" s="39"/>
      <c r="I18" s="39"/>
      <c r="J18" s="39"/>
      <c r="K18" s="48"/>
    </row>
    <row r="19" spans="1:11" ht="14.4" customHeight="1" x14ac:dyDescent="0.3">
      <c r="A19" s="43"/>
      <c r="B19" s="48"/>
      <c r="C19" s="39"/>
      <c r="D19" s="131" t="s">
        <v>26</v>
      </c>
      <c r="E19" s="132"/>
      <c r="F19" s="66" t="s">
        <v>23</v>
      </c>
      <c r="G19" s="39"/>
      <c r="H19" s="39"/>
      <c r="I19" s="39"/>
      <c r="J19" s="39"/>
      <c r="K19" s="48"/>
    </row>
    <row r="20" spans="1:11" ht="14.4" customHeight="1" x14ac:dyDescent="0.3">
      <c r="A20" s="43"/>
      <c r="B20" s="48"/>
      <c r="C20" s="39"/>
      <c r="D20" s="131" t="s">
        <v>27</v>
      </c>
      <c r="E20" s="132"/>
      <c r="F20" s="66" t="s">
        <v>23</v>
      </c>
      <c r="G20" s="39"/>
      <c r="H20" s="39"/>
      <c r="I20" s="39"/>
      <c r="J20" s="39"/>
      <c r="K20" s="48"/>
    </row>
    <row r="21" spans="1:11" ht="14.4" customHeight="1" x14ac:dyDescent="0.3">
      <c r="A21" s="43"/>
      <c r="B21" s="48"/>
      <c r="C21" s="39"/>
      <c r="D21" s="131" t="s">
        <v>28</v>
      </c>
      <c r="E21" s="132"/>
      <c r="F21" s="66" t="s">
        <v>23</v>
      </c>
      <c r="G21" s="39"/>
      <c r="H21" s="39"/>
      <c r="I21" s="39"/>
      <c r="J21" s="39"/>
      <c r="K21" s="48"/>
    </row>
    <row r="22" spans="1:11" ht="15.6" customHeight="1" x14ac:dyDescent="0.3">
      <c r="A22" s="43"/>
      <c r="B22" s="48"/>
      <c r="C22" s="39"/>
      <c r="D22" s="131" t="s">
        <v>29</v>
      </c>
      <c r="E22" s="132"/>
      <c r="F22" s="66" t="s">
        <v>23</v>
      </c>
      <c r="G22" s="39"/>
      <c r="H22" s="39"/>
      <c r="I22" s="39"/>
      <c r="J22" s="39"/>
      <c r="K22" s="48"/>
    </row>
    <row r="23" spans="1:11" ht="14.4" customHeight="1" x14ac:dyDescent="0.3">
      <c r="A23" s="43"/>
      <c r="B23" s="48"/>
      <c r="C23" s="39"/>
      <c r="D23" s="39"/>
      <c r="E23" s="39"/>
      <c r="F23" s="39"/>
      <c r="G23" s="39"/>
      <c r="H23" s="39"/>
      <c r="I23" s="39"/>
      <c r="J23" s="39"/>
      <c r="K23" s="48"/>
    </row>
    <row r="24" spans="1:11" ht="14.4" customHeight="1" x14ac:dyDescent="0.3">
      <c r="A24" s="43"/>
      <c r="B24" s="48"/>
      <c r="C24" s="48"/>
      <c r="D24" s="48"/>
      <c r="E24" s="48"/>
      <c r="F24" s="48"/>
      <c r="G24" s="48"/>
      <c r="H24" s="48"/>
      <c r="I24" s="48"/>
      <c r="J24" s="48"/>
      <c r="K24" s="48"/>
    </row>
  </sheetData>
  <sheetProtection sheet="1" selectLockedCells="1"/>
  <mergeCells count="17">
    <mergeCell ref="D21:E21"/>
    <mergeCell ref="D22:E22"/>
    <mergeCell ref="D15:E15"/>
    <mergeCell ref="D16:E16"/>
    <mergeCell ref="D17:E17"/>
    <mergeCell ref="D18:E18"/>
    <mergeCell ref="D19:E19"/>
    <mergeCell ref="D20:E20"/>
    <mergeCell ref="G2:J4"/>
    <mergeCell ref="H9:I12"/>
    <mergeCell ref="H8:I8"/>
    <mergeCell ref="D14:F14"/>
    <mergeCell ref="D9:E9"/>
    <mergeCell ref="D10:E10"/>
    <mergeCell ref="D11:E11"/>
    <mergeCell ref="D12:E12"/>
    <mergeCell ref="D8:E8"/>
  </mergeCells>
  <dataValidations count="2">
    <dataValidation type="list" allowBlank="1" showInputMessage="1" showErrorMessage="1" sqref="F16:F22" xr:uid="{44CADF3C-1370-4A40-A0C6-1337DD6E7790}">
      <formula1>"Yes,No"</formula1>
    </dataValidation>
    <dataValidation type="whole" operator="greaterThan" allowBlank="1" showErrorMessage="1" errorTitle="Número incorrecto" error="Introduzca un número entero mayor que 0" promptTitle="Número entero" prompt="Introduzca un número entero mayor que 0" sqref="F11" xr:uid="{65AE62A1-8421-469E-AC00-75AE22D58C81}">
      <formula1>0</formula1>
    </dataValidation>
  </dataValidation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9CAB-62CC-4D95-A8F2-911D2F58DD8C}">
  <sheetPr codeName="Hoja5">
    <tabColor rgb="FF009882"/>
    <pageSetUpPr fitToPage="1"/>
  </sheetPr>
  <dimension ref="A1:M28"/>
  <sheetViews>
    <sheetView showGridLines="0" showRowColHeaders="0" zoomScaleNormal="100" workbookViewId="0">
      <selection activeCell="F12" sqref="F12"/>
    </sheetView>
  </sheetViews>
  <sheetFormatPr baseColWidth="10" defaultColWidth="0" defaultRowHeight="0" customHeight="1" zeroHeight="1" x14ac:dyDescent="0.3"/>
  <cols>
    <col min="1" max="1" width="10.6640625" style="5" customWidth="1"/>
    <col min="2" max="2" width="2" style="5" customWidth="1"/>
    <col min="3" max="3" width="5.6640625" style="5" customWidth="1"/>
    <col min="4" max="4" width="30.6640625" style="5" customWidth="1"/>
    <col min="5" max="5" width="86.6640625" style="5" customWidth="1"/>
    <col min="6" max="6" width="12.33203125" style="5" customWidth="1"/>
    <col min="7" max="7" width="5.88671875" style="5" customWidth="1"/>
    <col min="8" max="8" width="1.88671875" style="5" customWidth="1"/>
    <col min="9" max="9" width="11.5546875" style="5" hidden="1" customWidth="1"/>
    <col min="10" max="10" width="12.33203125" style="5" hidden="1" customWidth="1"/>
    <col min="11" max="11" width="17.33203125" style="5" hidden="1" customWidth="1"/>
    <col min="12" max="12" width="15.88671875" style="5" hidden="1" customWidth="1"/>
    <col min="13" max="13" width="8.33203125" style="5" hidden="1" customWidth="1"/>
    <col min="14" max="16384" width="11.5546875" style="5" hidden="1"/>
  </cols>
  <sheetData>
    <row r="1" spans="1:13" ht="14.4" x14ac:dyDescent="0.3">
      <c r="A1" s="43"/>
      <c r="B1" s="37"/>
      <c r="C1" s="37"/>
      <c r="D1" s="37"/>
      <c r="E1" s="37"/>
      <c r="F1" s="37"/>
      <c r="G1" s="37"/>
      <c r="H1" s="37"/>
    </row>
    <row r="2" spans="1:13" ht="14.4" customHeight="1" x14ac:dyDescent="0.3">
      <c r="A2" s="43"/>
      <c r="B2" s="37"/>
      <c r="C2" s="62"/>
      <c r="D2" s="62"/>
      <c r="E2" s="119" t="s">
        <v>30</v>
      </c>
      <c r="F2" s="119"/>
      <c r="G2" s="119"/>
      <c r="H2" s="37"/>
    </row>
    <row r="3" spans="1:13" ht="14.4" customHeight="1" x14ac:dyDescent="0.3">
      <c r="A3" s="43"/>
      <c r="B3" s="37"/>
      <c r="C3" s="62"/>
      <c r="D3" s="62"/>
      <c r="E3" s="119"/>
      <c r="F3" s="119"/>
      <c r="G3" s="119"/>
      <c r="H3" s="37"/>
    </row>
    <row r="4" spans="1:13" ht="14.4" customHeight="1" x14ac:dyDescent="0.3">
      <c r="A4" s="43"/>
      <c r="B4" s="37"/>
      <c r="C4" s="62"/>
      <c r="D4" s="62"/>
      <c r="E4" s="119"/>
      <c r="F4" s="119"/>
      <c r="G4" s="119"/>
      <c r="H4" s="37"/>
    </row>
    <row r="5" spans="1:13" ht="27.6" x14ac:dyDescent="0.45">
      <c r="A5" s="43"/>
      <c r="B5" s="37"/>
      <c r="C5" s="40" t="s">
        <v>31</v>
      </c>
      <c r="D5" s="40"/>
      <c r="E5" s="39"/>
      <c r="F5" s="41"/>
      <c r="G5" s="39"/>
      <c r="H5" s="37"/>
    </row>
    <row r="6" spans="1:13" ht="15" customHeight="1" x14ac:dyDescent="0.45">
      <c r="A6" s="43"/>
      <c r="B6" s="37"/>
      <c r="C6" s="106" t="s">
        <v>429</v>
      </c>
      <c r="D6" s="42"/>
      <c r="E6" s="39"/>
      <c r="F6" s="41"/>
      <c r="G6" s="39"/>
      <c r="H6" s="37"/>
    </row>
    <row r="7" spans="1:13" ht="10.8" customHeight="1" x14ac:dyDescent="0.3">
      <c r="A7" s="43"/>
      <c r="B7" s="37"/>
      <c r="C7" s="106" t="s">
        <v>428</v>
      </c>
      <c r="D7" s="43"/>
      <c r="E7" s="43"/>
      <c r="F7" s="43"/>
      <c r="G7" s="43"/>
      <c r="H7" s="37"/>
    </row>
    <row r="8" spans="1:13" ht="7.2" customHeight="1" x14ac:dyDescent="0.3">
      <c r="A8" s="43"/>
      <c r="B8" s="37"/>
      <c r="C8" s="43"/>
      <c r="D8" s="43"/>
      <c r="E8" s="43"/>
      <c r="F8" s="43"/>
      <c r="G8" s="43"/>
      <c r="H8" s="37"/>
    </row>
    <row r="9" spans="1:13" ht="21" x14ac:dyDescent="0.3">
      <c r="A9" s="43"/>
      <c r="B9" s="37"/>
      <c r="C9" s="43"/>
      <c r="D9" s="138" t="s">
        <v>32</v>
      </c>
      <c r="E9" s="139"/>
      <c r="F9" s="140"/>
      <c r="G9" s="44"/>
      <c r="H9" s="37"/>
    </row>
    <row r="10" spans="1:13" ht="14.4" customHeight="1" x14ac:dyDescent="0.3">
      <c r="A10" s="43"/>
      <c r="B10" s="37"/>
      <c r="C10" s="43"/>
      <c r="D10" s="141" t="s">
        <v>33</v>
      </c>
      <c r="E10" s="142"/>
      <c r="F10" s="143"/>
      <c r="G10" s="45"/>
      <c r="H10" s="37"/>
    </row>
    <row r="11" spans="1:13" ht="15.6" x14ac:dyDescent="0.3">
      <c r="A11" s="43"/>
      <c r="B11" s="37"/>
      <c r="C11" s="43"/>
      <c r="D11" s="65" t="s">
        <v>34</v>
      </c>
      <c r="E11" s="65" t="s">
        <v>35</v>
      </c>
      <c r="F11" s="67" t="s">
        <v>36</v>
      </c>
      <c r="G11" s="46"/>
      <c r="H11" s="37"/>
      <c r="J11" s="80" t="s">
        <v>37</v>
      </c>
      <c r="K11" s="80" t="s">
        <v>38</v>
      </c>
      <c r="L11" s="80" t="s">
        <v>39</v>
      </c>
      <c r="M11" s="80" t="s">
        <v>40</v>
      </c>
    </row>
    <row r="12" spans="1:13" ht="44.4" customHeight="1" x14ac:dyDescent="0.3">
      <c r="A12" s="43"/>
      <c r="B12" s="37"/>
      <c r="C12" s="43"/>
      <c r="D12" s="136" t="s">
        <v>41</v>
      </c>
      <c r="E12" s="69" t="s">
        <v>420</v>
      </c>
      <c r="F12" s="68">
        <v>0</v>
      </c>
      <c r="G12" s="47"/>
      <c r="H12" s="37"/>
      <c r="J12" s="81">
        <f>POWER(2,F12)</f>
        <v>1</v>
      </c>
      <c r="K12" s="81">
        <f>J12</f>
        <v>1</v>
      </c>
      <c r="L12" s="82">
        <f>K12/SUM($K$12:$K$19)</f>
        <v>0.125</v>
      </c>
      <c r="M12" s="83">
        <f t="shared" ref="M12:M19" si="0">L12</f>
        <v>0.125</v>
      </c>
    </row>
    <row r="13" spans="1:13" ht="44.4" customHeight="1" x14ac:dyDescent="0.3">
      <c r="A13" s="43"/>
      <c r="B13" s="37"/>
      <c r="C13" s="43"/>
      <c r="D13" s="137"/>
      <c r="E13" s="70" t="s">
        <v>421</v>
      </c>
      <c r="F13" s="68">
        <v>0</v>
      </c>
      <c r="G13" s="47"/>
      <c r="H13" s="37"/>
      <c r="J13" s="81">
        <f t="shared" ref="J13:J19" si="1">POWER(2,F13)</f>
        <v>1</v>
      </c>
      <c r="K13" s="81">
        <f t="shared" ref="K13:K19" si="2">J13</f>
        <v>1</v>
      </c>
      <c r="L13" s="82">
        <f t="shared" ref="L13:L19" si="3">K13/SUM($K$12:$K$19)</f>
        <v>0.125</v>
      </c>
      <c r="M13" s="83">
        <f t="shared" si="0"/>
        <v>0.125</v>
      </c>
    </row>
    <row r="14" spans="1:13" ht="44.4" customHeight="1" x14ac:dyDescent="0.3">
      <c r="A14" s="43"/>
      <c r="B14" s="37"/>
      <c r="C14" s="43"/>
      <c r="D14" s="136" t="s">
        <v>42</v>
      </c>
      <c r="E14" s="69" t="s">
        <v>422</v>
      </c>
      <c r="F14" s="68">
        <v>0</v>
      </c>
      <c r="G14" s="47"/>
      <c r="H14" s="37"/>
      <c r="J14" s="81">
        <f t="shared" si="1"/>
        <v>1</v>
      </c>
      <c r="K14" s="81">
        <f t="shared" si="2"/>
        <v>1</v>
      </c>
      <c r="L14" s="82">
        <f t="shared" si="3"/>
        <v>0.125</v>
      </c>
      <c r="M14" s="83">
        <f t="shared" si="0"/>
        <v>0.125</v>
      </c>
    </row>
    <row r="15" spans="1:13" ht="44.4" customHeight="1" x14ac:dyDescent="0.3">
      <c r="A15" s="43"/>
      <c r="B15" s="37"/>
      <c r="C15" s="43"/>
      <c r="D15" s="137"/>
      <c r="E15" s="69" t="s">
        <v>423</v>
      </c>
      <c r="F15" s="68">
        <v>0</v>
      </c>
      <c r="G15" s="47"/>
      <c r="H15" s="37"/>
      <c r="J15" s="81">
        <f t="shared" si="1"/>
        <v>1</v>
      </c>
      <c r="K15" s="81">
        <f t="shared" si="2"/>
        <v>1</v>
      </c>
      <c r="L15" s="82">
        <f t="shared" si="3"/>
        <v>0.125</v>
      </c>
      <c r="M15" s="83">
        <f t="shared" si="0"/>
        <v>0.125</v>
      </c>
    </row>
    <row r="16" spans="1:13" ht="44.4" customHeight="1" x14ac:dyDescent="0.3">
      <c r="A16" s="43"/>
      <c r="B16" s="37"/>
      <c r="C16" s="43"/>
      <c r="D16" s="136" t="s">
        <v>43</v>
      </c>
      <c r="E16" s="69" t="s">
        <v>424</v>
      </c>
      <c r="F16" s="68">
        <v>0</v>
      </c>
      <c r="G16" s="47"/>
      <c r="H16" s="37"/>
      <c r="J16" s="81">
        <f t="shared" si="1"/>
        <v>1</v>
      </c>
      <c r="K16" s="81">
        <f t="shared" si="2"/>
        <v>1</v>
      </c>
      <c r="L16" s="82">
        <f t="shared" si="3"/>
        <v>0.125</v>
      </c>
      <c r="M16" s="83">
        <f t="shared" si="0"/>
        <v>0.125</v>
      </c>
    </row>
    <row r="17" spans="1:13" ht="44.4" customHeight="1" x14ac:dyDescent="0.3">
      <c r="A17" s="43"/>
      <c r="B17" s="37"/>
      <c r="C17" s="43"/>
      <c r="D17" s="137"/>
      <c r="E17" s="69" t="s">
        <v>425</v>
      </c>
      <c r="F17" s="68">
        <v>0</v>
      </c>
      <c r="G17" s="47"/>
      <c r="H17" s="37"/>
      <c r="J17" s="81">
        <f t="shared" si="1"/>
        <v>1</v>
      </c>
      <c r="K17" s="81">
        <f t="shared" si="2"/>
        <v>1</v>
      </c>
      <c r="L17" s="82">
        <f t="shared" si="3"/>
        <v>0.125</v>
      </c>
      <c r="M17" s="83">
        <f t="shared" si="0"/>
        <v>0.125</v>
      </c>
    </row>
    <row r="18" spans="1:13" ht="44.4" customHeight="1" x14ac:dyDescent="0.3">
      <c r="A18" s="43"/>
      <c r="B18" s="37"/>
      <c r="C18" s="43"/>
      <c r="D18" s="136" t="s">
        <v>44</v>
      </c>
      <c r="E18" s="69" t="s">
        <v>426</v>
      </c>
      <c r="F18" s="68">
        <v>0</v>
      </c>
      <c r="G18" s="47"/>
      <c r="H18" s="37"/>
      <c r="J18" s="81">
        <f t="shared" si="1"/>
        <v>1</v>
      </c>
      <c r="K18" s="81">
        <f t="shared" si="2"/>
        <v>1</v>
      </c>
      <c r="L18" s="82">
        <f t="shared" si="3"/>
        <v>0.125</v>
      </c>
      <c r="M18" s="83">
        <f t="shared" si="0"/>
        <v>0.125</v>
      </c>
    </row>
    <row r="19" spans="1:13" ht="44.4" customHeight="1" x14ac:dyDescent="0.3">
      <c r="A19" s="43"/>
      <c r="B19" s="37"/>
      <c r="C19" s="43"/>
      <c r="D19" s="137"/>
      <c r="E19" s="69" t="s">
        <v>427</v>
      </c>
      <c r="F19" s="68">
        <v>0</v>
      </c>
      <c r="G19" s="47"/>
      <c r="H19" s="37"/>
      <c r="J19" s="81">
        <f t="shared" si="1"/>
        <v>1</v>
      </c>
      <c r="K19" s="81">
        <f t="shared" si="2"/>
        <v>1</v>
      </c>
      <c r="L19" s="82">
        <f t="shared" si="3"/>
        <v>0.125</v>
      </c>
      <c r="M19" s="83">
        <f t="shared" si="0"/>
        <v>0.125</v>
      </c>
    </row>
    <row r="20" spans="1:13" ht="18" hidden="1" x14ac:dyDescent="0.3">
      <c r="A20" s="43"/>
      <c r="B20" s="37"/>
      <c r="C20" s="43"/>
      <c r="D20" s="6"/>
      <c r="E20" s="6"/>
      <c r="F20" s="6"/>
      <c r="G20" s="47"/>
      <c r="H20" s="37"/>
      <c r="J20"/>
      <c r="K20" s="81">
        <f>SUM(K12:K19)</f>
        <v>8</v>
      </c>
      <c r="L20" s="82">
        <f>SUM(L12:L19)</f>
        <v>1</v>
      </c>
      <c r="M20" s="83">
        <f>SUM(M12:M19)</f>
        <v>1</v>
      </c>
    </row>
    <row r="21" spans="1:13" ht="18" hidden="1" x14ac:dyDescent="0.3">
      <c r="A21" s="43"/>
      <c r="B21" s="37"/>
      <c r="C21" s="37"/>
      <c r="D21" s="37"/>
      <c r="E21" s="37"/>
      <c r="F21" s="37"/>
      <c r="G21" s="47"/>
      <c r="H21" s="37"/>
    </row>
    <row r="22" spans="1:13" ht="14.4" customHeight="1" x14ac:dyDescent="0.3">
      <c r="A22" s="43"/>
      <c r="B22" s="37"/>
      <c r="C22" s="47"/>
      <c r="D22" s="47"/>
      <c r="E22" s="47"/>
      <c r="F22" s="47"/>
      <c r="G22" s="47"/>
      <c r="H22" s="37"/>
    </row>
    <row r="23" spans="1:13" ht="14.4" customHeight="1" x14ac:dyDescent="0.3">
      <c r="A23" s="43"/>
      <c r="B23" s="37"/>
      <c r="C23" s="37"/>
      <c r="D23" s="37"/>
      <c r="E23" s="37"/>
      <c r="F23" s="37"/>
      <c r="G23" s="37"/>
      <c r="H23" s="37"/>
    </row>
    <row r="24" spans="1:13" ht="14.4" hidden="1" customHeight="1" x14ac:dyDescent="0.3"/>
    <row r="25" spans="1:13" ht="14.4" hidden="1" customHeight="1" x14ac:dyDescent="0.3"/>
    <row r="26" spans="1:13" ht="14.4" hidden="1" customHeight="1" x14ac:dyDescent="0.3"/>
    <row r="27" spans="1:13" ht="14.4" hidden="1" customHeight="1" x14ac:dyDescent="0.3"/>
    <row r="28" spans="1:13" ht="14.4" hidden="1" customHeight="1" x14ac:dyDescent="0.3"/>
  </sheetData>
  <sheetProtection sheet="1" selectLockedCells="1"/>
  <mergeCells count="7">
    <mergeCell ref="D16:D17"/>
    <mergeCell ref="D18:D19"/>
    <mergeCell ref="E2:G4"/>
    <mergeCell ref="D9:F9"/>
    <mergeCell ref="D10:F10"/>
    <mergeCell ref="D12:D13"/>
    <mergeCell ref="D14:D15"/>
  </mergeCells>
  <conditionalFormatting sqref="E12:E19">
    <cfRule type="duplicateValues" dxfId="71" priority="38"/>
  </conditionalFormatting>
  <dataValidations count="2">
    <dataValidation type="whole" allowBlank="1" showInputMessage="1" showErrorMessage="1" sqref="G12:G22 C22:F22" xr:uid="{E8DF42A6-C468-4A09-9161-966FBE324E5A}">
      <formula1>-5</formula1>
      <formula2>5</formula2>
    </dataValidation>
    <dataValidation type="list" allowBlank="1" showInputMessage="1" showErrorMessage="1" sqref="F12:F19" xr:uid="{68ED256C-7768-4BCE-B4A1-AC8DD2224AE5}">
      <formula1>"3,2,1,0,-1,-2,-3"</formula1>
    </dataValidation>
  </dataValidations>
  <pageMargins left="0.7" right="0.7" top="0.75" bottom="0.75" header="0.3" footer="0.3"/>
  <pageSetup paperSize="9" scale="8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564B6-ED95-4BD2-8D83-1BE1E9A86465}">
  <sheetPr codeName="Hoja4">
    <tabColor rgb="FF00483E"/>
    <pageSetUpPr fitToPage="1"/>
  </sheetPr>
  <dimension ref="A1:S152"/>
  <sheetViews>
    <sheetView showGridLines="0" showRowColHeaders="0" zoomScaleNormal="100" workbookViewId="0">
      <selection activeCell="A18" sqref="A18"/>
    </sheetView>
  </sheetViews>
  <sheetFormatPr baseColWidth="10" defaultColWidth="0" defaultRowHeight="14.4" zeroHeight="1" x14ac:dyDescent="0.3"/>
  <cols>
    <col min="1" max="1" width="10.6640625" style="5" customWidth="1"/>
    <col min="2" max="2" width="2" style="5" customWidth="1"/>
    <col min="3" max="4" width="5.6640625" style="5" customWidth="1"/>
    <col min="5" max="5" width="9" style="5" bestFit="1" customWidth="1"/>
    <col min="6" max="6" width="35.77734375" style="5" customWidth="1"/>
    <col min="7" max="7" width="76.6640625" style="5" customWidth="1"/>
    <col min="8" max="8" width="7.88671875" style="5" bestFit="1" customWidth="1"/>
    <col min="9" max="9" width="7.6640625" style="5" customWidth="1"/>
    <col min="10" max="10" width="9.33203125" style="5" customWidth="1"/>
    <col min="11" max="11" width="10.109375" style="5" bestFit="1" customWidth="1"/>
    <col min="12" max="12" width="3.109375" style="5" customWidth="1"/>
    <col min="13" max="13" width="31.109375" style="5" bestFit="1" customWidth="1"/>
    <col min="14" max="16" width="10.6640625" style="5" customWidth="1"/>
    <col min="17" max="17" width="29.6640625" style="5" customWidth="1"/>
    <col min="18" max="18" width="3" customWidth="1"/>
    <col min="19" max="19" width="2" style="5" customWidth="1"/>
    <col min="20" max="16384" width="11.5546875" style="5" hidden="1"/>
  </cols>
  <sheetData>
    <row r="1" spans="1:19" ht="14.4" customHeight="1" x14ac:dyDescent="0.3">
      <c r="A1" s="43"/>
      <c r="B1" s="48"/>
      <c r="C1" s="48"/>
      <c r="D1" s="48"/>
      <c r="E1" s="48"/>
      <c r="F1" s="48"/>
      <c r="G1" s="48"/>
      <c r="H1" s="48"/>
      <c r="I1" s="48"/>
      <c r="J1" s="48"/>
      <c r="K1" s="48"/>
      <c r="L1" s="48"/>
      <c r="M1" s="48"/>
      <c r="N1" s="48"/>
      <c r="O1" s="48"/>
      <c r="P1" s="48"/>
      <c r="Q1" s="48"/>
      <c r="R1" s="48"/>
      <c r="S1" s="48"/>
    </row>
    <row r="2" spans="1:19" ht="14.4" customHeight="1" x14ac:dyDescent="0.3">
      <c r="A2" s="43"/>
      <c r="B2" s="48"/>
      <c r="C2" s="75"/>
      <c r="D2" s="62"/>
      <c r="E2" s="62"/>
      <c r="F2" s="64"/>
      <c r="G2" s="119" t="s">
        <v>7</v>
      </c>
      <c r="H2" s="119"/>
      <c r="I2" s="119"/>
      <c r="J2" s="119"/>
      <c r="K2" s="119"/>
      <c r="L2" s="119"/>
      <c r="M2" s="119"/>
      <c r="N2" s="119"/>
      <c r="O2" s="119"/>
      <c r="P2" s="119"/>
      <c r="Q2" s="119"/>
      <c r="R2" s="119"/>
      <c r="S2" s="48"/>
    </row>
    <row r="3" spans="1:19" ht="14.4" customHeight="1" x14ac:dyDescent="0.3">
      <c r="A3" s="43"/>
      <c r="B3" s="48"/>
      <c r="C3" s="75"/>
      <c r="D3" s="62"/>
      <c r="E3" s="62"/>
      <c r="F3" s="64"/>
      <c r="G3" s="119"/>
      <c r="H3" s="119"/>
      <c r="I3" s="119"/>
      <c r="J3" s="119"/>
      <c r="K3" s="119"/>
      <c r="L3" s="119"/>
      <c r="M3" s="119"/>
      <c r="N3" s="119"/>
      <c r="O3" s="119"/>
      <c r="P3" s="119"/>
      <c r="Q3" s="119"/>
      <c r="R3" s="119"/>
      <c r="S3" s="48"/>
    </row>
    <row r="4" spans="1:19" ht="14.4" customHeight="1" x14ac:dyDescent="0.3">
      <c r="A4" s="43"/>
      <c r="B4" s="48"/>
      <c r="C4" s="75"/>
      <c r="D4" s="62"/>
      <c r="E4" s="62"/>
      <c r="F4" s="64"/>
      <c r="G4" s="119"/>
      <c r="H4" s="119"/>
      <c r="I4" s="119"/>
      <c r="J4" s="119"/>
      <c r="K4" s="119"/>
      <c r="L4" s="119"/>
      <c r="M4" s="119"/>
      <c r="N4" s="119"/>
      <c r="O4" s="119"/>
      <c r="P4" s="119"/>
      <c r="Q4" s="119"/>
      <c r="R4" s="119"/>
      <c r="S4" s="48"/>
    </row>
    <row r="5" spans="1:19" ht="27.6" x14ac:dyDescent="0.45">
      <c r="A5" s="43"/>
      <c r="B5" s="48"/>
      <c r="C5" s="40" t="str">
        <f>"Recommended measures for "&amp;'1.MUNICIPAL_PROFILE'!E9</f>
        <v xml:space="preserve">Recommended measures for </v>
      </c>
      <c r="D5" s="40"/>
      <c r="E5" s="40"/>
      <c r="F5" s="39"/>
      <c r="G5" s="41"/>
      <c r="H5" s="39"/>
      <c r="I5" s="39"/>
      <c r="J5" s="39"/>
      <c r="K5" s="39"/>
      <c r="L5" s="39"/>
      <c r="M5" s="43"/>
      <c r="N5" s="43"/>
      <c r="O5" s="43"/>
      <c r="P5" s="43"/>
      <c r="Q5" s="43"/>
      <c r="R5" s="43"/>
      <c r="S5" s="48"/>
    </row>
    <row r="6" spans="1:19" ht="15" customHeight="1" x14ac:dyDescent="0.45">
      <c r="A6" s="43"/>
      <c r="B6" s="48"/>
      <c r="C6" s="42" t="s">
        <v>45</v>
      </c>
      <c r="D6" s="42"/>
      <c r="E6" s="42"/>
      <c r="F6" s="39"/>
      <c r="G6" s="41"/>
      <c r="H6" s="39"/>
      <c r="I6" s="39"/>
      <c r="J6" s="39"/>
      <c r="K6" s="39"/>
      <c r="L6" s="39"/>
      <c r="M6" s="43"/>
      <c r="N6" s="43"/>
      <c r="O6" s="43"/>
      <c r="P6" s="43"/>
      <c r="Q6" s="43"/>
      <c r="R6" s="43"/>
      <c r="S6" s="48"/>
    </row>
    <row r="7" spans="1:19" ht="7.95" customHeight="1" x14ac:dyDescent="0.3">
      <c r="A7" s="43"/>
      <c r="B7" s="48"/>
      <c r="C7" s="43"/>
      <c r="D7" s="43"/>
      <c r="E7" s="43"/>
      <c r="F7" s="43"/>
      <c r="G7" s="43"/>
      <c r="H7" s="43"/>
      <c r="I7" s="43"/>
      <c r="J7" s="43"/>
      <c r="K7" s="43"/>
      <c r="L7" s="43"/>
      <c r="M7" s="43"/>
      <c r="N7" s="43"/>
      <c r="O7" s="43"/>
      <c r="P7" s="43"/>
      <c r="Q7" s="43"/>
      <c r="R7" s="43"/>
      <c r="S7" s="48"/>
    </row>
    <row r="8" spans="1:19" ht="21" customHeight="1" x14ac:dyDescent="0.3">
      <c r="A8" s="43"/>
      <c r="B8" s="48"/>
      <c r="C8" s="43"/>
      <c r="D8" s="147" t="str">
        <f>_xlfn.CONCAT("Total number of applicable measures: ",COUNTIF('4.CATALOGUE_OF_MEASURES'!BQ18:BQ158,"&gt;0"),"  •  Top 20 highlighted / Bottom 20 in grey")</f>
        <v>Total number of applicable measures: 141  •  Top 20 highlighted / Bottom 20 in grey</v>
      </c>
      <c r="E8" s="147"/>
      <c r="F8" s="147"/>
      <c r="G8" s="147"/>
      <c r="H8" s="147"/>
      <c r="I8" s="147"/>
      <c r="J8" s="147"/>
      <c r="K8" s="147"/>
      <c r="L8" s="43"/>
      <c r="M8" s="43"/>
      <c r="N8" s="43"/>
      <c r="O8" s="43"/>
      <c r="P8" s="43"/>
      <c r="Q8" s="43"/>
      <c r="R8" s="43"/>
      <c r="S8" s="48"/>
    </row>
    <row r="9" spans="1:19" ht="28.95" customHeight="1" x14ac:dyDescent="0.3">
      <c r="A9" s="43"/>
      <c r="B9" s="48"/>
      <c r="C9" s="43"/>
      <c r="D9" s="50" t="s">
        <v>46</v>
      </c>
      <c r="E9" s="50" t="s">
        <v>47</v>
      </c>
      <c r="F9" s="50" t="s">
        <v>48</v>
      </c>
      <c r="G9" s="50" t="s">
        <v>49</v>
      </c>
      <c r="H9" s="50" t="s">
        <v>50</v>
      </c>
      <c r="I9" s="50" t="s">
        <v>51</v>
      </c>
      <c r="J9" s="50" t="s">
        <v>52</v>
      </c>
      <c r="K9" s="50" t="s">
        <v>53</v>
      </c>
      <c r="L9" s="43"/>
      <c r="M9" s="144" t="s">
        <v>54</v>
      </c>
      <c r="N9" s="145"/>
      <c r="O9" s="145"/>
      <c r="P9" s="145"/>
      <c r="Q9" s="146"/>
      <c r="R9" s="43"/>
      <c r="S9" s="48"/>
    </row>
    <row r="10" spans="1:19" ht="27.6" customHeight="1" x14ac:dyDescent="0.3">
      <c r="A10" s="43"/>
      <c r="B10" s="48"/>
      <c r="C10" s="43"/>
      <c r="D10" s="8">
        <f>IF( ISERROR(VLOOKUP(ROW(C10)-9,T_MEASURES[],2,FALSE)), "", ROW(C10)-9 )</f>
        <v>1</v>
      </c>
      <c r="E10" s="9" t="str">
        <f>IF(D10="","",VLOOKUP(D10,T_MEASURES[],2,FALSE))</f>
        <v>Med 122</v>
      </c>
      <c r="F10" s="10" t="str">
        <f>IF(D10="","",VLOOKUP(D10,T_MEASURES[],3,FALSE))</f>
        <v>Communication and awareness raising</v>
      </c>
      <c r="G10" s="10" t="str">
        <f>IF(D10="","",VLOOKUP(D10,T_MEASURES[],6,FALSE))</f>
        <v>Workshop on prevention of excess heat organized through associations, municipal day centers, social work units, municipal districts, AMPAs.</v>
      </c>
      <c r="H10" s="28">
        <f>IF(D10="","",VLOOKUP(D10,T_MEASURES[],21,FALSE))</f>
        <v>2</v>
      </c>
      <c r="I10" s="28" t="str">
        <f>IF(D10="","",VLOOKUP(D10,T_MEASURES[],11,FALSE))</f>
        <v>€</v>
      </c>
      <c r="J10" s="8" t="str">
        <f>IF(D10="","",MID(VLOOKUP(D10,T_MEASURES[],20,FALSE),FIND(". ",VLOOKUP(D10,T_MEASURES[],20,FALSE))+2,FIND(" (",VLOOKUP(D10,T_MEASURES[],20,FALSE))-FIND(".",VLOOKUP(D10,T_MEASURES[],20,FALSE))-2))</f>
        <v>Medium</v>
      </c>
      <c r="K10" s="99">
        <f>IF(D10="","",VLOOKUP(D10,T_MEASURES[],66,FALSE))</f>
        <v>212.50000122</v>
      </c>
      <c r="L10" s="43"/>
      <c r="M10" s="34" t="s">
        <v>56</v>
      </c>
      <c r="N10" s="32">
        <f>COUNTIFS(T_MEASURES[TYPE OF MEASURE],'3.RESULTS'!M10,T_MEASURES[Weight Criterion],"&gt;0")</f>
        <v>25</v>
      </c>
      <c r="O10" s="43"/>
      <c r="P10" s="43"/>
      <c r="Q10" s="43"/>
      <c r="R10" s="43"/>
      <c r="S10" s="48"/>
    </row>
    <row r="11" spans="1:19" ht="27.6" customHeight="1" x14ac:dyDescent="0.3">
      <c r="A11" s="43"/>
      <c r="B11" s="48"/>
      <c r="C11" s="43"/>
      <c r="D11" s="7">
        <f>IF( ISERROR(VLOOKUP(ROW(C11)-9,T_MEASURES[],2,FALSE)), "", ROW(C11)-9 )</f>
        <v>2</v>
      </c>
      <c r="E11" s="13" t="str">
        <f>IF(D11="","",VLOOKUP(D11,T_MEASURES[],2,FALSE))</f>
        <v>Med 112</v>
      </c>
      <c r="F11" s="14" t="str">
        <f>IF(D11="","",VLOOKUP(D11,T_MEASURES[],3,FALSE))</f>
        <v>Ready to go measures</v>
      </c>
      <c r="G11" s="15" t="str">
        <f>IF(D11="","",VLOOKUP(D11,T_MEASURES[],6,FALSE))</f>
        <v>Immediate communication to the services indicated in the municipal action plan in emergency situations</v>
      </c>
      <c r="H11" s="29">
        <f>IF(D11="","",VLOOKUP(D11,T_MEASURES[],21,FALSE))</f>
        <v>2</v>
      </c>
      <c r="I11" s="29" t="str">
        <f>IF(D11="","",VLOOKUP(D11,T_MEASURES[],11,FALSE))</f>
        <v>-</v>
      </c>
      <c r="J11" s="7" t="str">
        <f>IF(D11="","",MID(VLOOKUP(D11,T_MEASURES[],20,FALSE),FIND(". ",VLOOKUP(D11,T_MEASURES[],20,FALSE))+2,FIND(" (",VLOOKUP(D11,T_MEASURES[],20,FALSE))-FIND(".",VLOOKUP(D11,T_MEASURES[],20,FALSE))-2))</f>
        <v>Medium</v>
      </c>
      <c r="K11" s="100">
        <f>IF(D11="","",VLOOKUP(D11,T_MEASURES[],66,FALSE))</f>
        <v>212.50000112000001</v>
      </c>
      <c r="L11" s="43"/>
      <c r="M11" s="33" t="s">
        <v>55</v>
      </c>
      <c r="N11" s="32">
        <f>COUNTIFS(T_MEASURES[TYPE OF MEASURE],'3.RESULTS'!M11,T_MEASURES[Weight Criterion],"&gt;0")</f>
        <v>56</v>
      </c>
      <c r="O11" s="43"/>
      <c r="P11" s="43"/>
      <c r="Q11" s="43"/>
      <c r="R11" s="43"/>
      <c r="S11" s="48"/>
    </row>
    <row r="12" spans="1:19" ht="28.2" customHeight="1" x14ac:dyDescent="0.3">
      <c r="A12" s="43"/>
      <c r="B12" s="48"/>
      <c r="C12" s="43"/>
      <c r="D12" s="8">
        <f>IF( ISERROR(VLOOKUP(ROW(C12)-9,T_MEASURES[],2,FALSE)), "", ROW(C12)-9 )</f>
        <v>3</v>
      </c>
      <c r="E12" s="9" t="str">
        <f>IF(D12="","",VLOOKUP(D12,T_MEASURES[],2,FALSE))</f>
        <v>Med 111</v>
      </c>
      <c r="F12" s="10" t="str">
        <f>IF(D12="","",VLOOKUP(D12,T_MEASURES[],3,FALSE))</f>
        <v>Ready to go measures</v>
      </c>
      <c r="G12" s="10" t="str">
        <f>IF(D12="","",VLOOKUP(D12,T_MEASURES[],6,FALSE))</f>
        <v>Activate municipal services that can act in situations of alert for high temperatures (local police, social services, groups of volunteers, etc.).</v>
      </c>
      <c r="H12" s="28">
        <f>IF(D12="","",VLOOKUP(D12,T_MEASURES[],21,FALSE))</f>
        <v>2</v>
      </c>
      <c r="I12" s="28" t="str">
        <f>IF(D12="","",VLOOKUP(D12,T_MEASURES[],11,FALSE))</f>
        <v>-</v>
      </c>
      <c r="J12" s="8" t="str">
        <f>IF(D12="","",MID(VLOOKUP(D12,T_MEASURES[],20,FALSE),FIND(". ",VLOOKUP(D12,T_MEASURES[],20,FALSE))+2,FIND(" (",VLOOKUP(D12,T_MEASURES[],20,FALSE))-FIND(".",VLOOKUP(D12,T_MEASURES[],20,FALSE))-2))</f>
        <v>Medium</v>
      </c>
      <c r="K12" s="99">
        <f>IF(D12="","",VLOOKUP(D12,T_MEASURES[],66,FALSE))</f>
        <v>212.50000111</v>
      </c>
      <c r="L12" s="43"/>
      <c r="M12" s="34" t="s">
        <v>431</v>
      </c>
      <c r="N12" s="35">
        <f>COUNTIFS(T_MEASURES[TYPE OF MEASURE],'3.RESULTS'!M12,T_MEASURES[Weight Criterion],"&gt;0")</f>
        <v>60</v>
      </c>
      <c r="O12" s="43"/>
      <c r="P12" s="43"/>
      <c r="Q12" s="43"/>
      <c r="R12" s="43"/>
      <c r="S12" s="48"/>
    </row>
    <row r="13" spans="1:19" ht="28.2" customHeight="1" x14ac:dyDescent="0.3">
      <c r="A13" s="43"/>
      <c r="B13" s="48"/>
      <c r="C13" s="43"/>
      <c r="D13" s="7">
        <f>IF( ISERROR(VLOOKUP(ROW(C13)-9,T_MEASURES[],2,FALSE)), "", ROW(C13)-9 )</f>
        <v>4</v>
      </c>
      <c r="E13" s="13" t="str">
        <f>IF(D13="","",VLOOKUP(D13,T_MEASURES[],2,FALSE))</f>
        <v>Med 110</v>
      </c>
      <c r="F13" s="14" t="str">
        <f>IF(D13="","",VLOOKUP(D13,T_MEASURES[],3,FALSE))</f>
        <v>Ready to go measures</v>
      </c>
      <c r="G13" s="14" t="str">
        <f>IF(D13="","",VLOOKUP(D13,T_MEASURES[],6,FALSE))</f>
        <v>Monitor and adapt the comfort of municipal spaces frequented by population at risk (older people, people with disabilities, minors)</v>
      </c>
      <c r="H13" s="29">
        <f>IF(D13="","",VLOOKUP(D13,T_MEASURES[],21,FALSE))</f>
        <v>2</v>
      </c>
      <c r="I13" s="29" t="str">
        <f>IF(D13="","",VLOOKUP(D13,T_MEASURES[],11,FALSE))</f>
        <v>-</v>
      </c>
      <c r="J13" s="7" t="str">
        <f>IF(D13="","",MID(VLOOKUP(D13,T_MEASURES[],20,FALSE),FIND(". ",VLOOKUP(D13,T_MEASURES[],20,FALSE))+2,FIND(" (",VLOOKUP(D13,T_MEASURES[],20,FALSE))-FIND(".",VLOOKUP(D13,T_MEASURES[],20,FALSE))-2))</f>
        <v>High</v>
      </c>
      <c r="K13" s="100">
        <f>IF(D13="","",VLOOKUP(D13,T_MEASURES[],66,FALSE))</f>
        <v>212.50000109999999</v>
      </c>
      <c r="L13" s="43"/>
      <c r="M13" s="43"/>
      <c r="N13" s="43"/>
      <c r="O13" s="43"/>
      <c r="P13" s="43"/>
      <c r="Q13" s="43"/>
      <c r="R13" s="43"/>
      <c r="S13" s="48"/>
    </row>
    <row r="14" spans="1:19" ht="28.2" customHeight="1" x14ac:dyDescent="0.3">
      <c r="A14" s="43"/>
      <c r="B14" s="48"/>
      <c r="C14" s="43"/>
      <c r="D14" s="8">
        <f>IF( ISERROR(VLOOKUP(ROW(C14)-9,T_MEASURES[],2,FALSE)), "", ROW(C14)-9 )</f>
        <v>5</v>
      </c>
      <c r="E14" s="9" t="str">
        <f>IF(D14="","",VLOOKUP(D14,T_MEASURES[],2,FALSE))</f>
        <v>Med 109</v>
      </c>
      <c r="F14" s="10" t="str">
        <f>IF(D14="","",VLOOKUP(D14,T_MEASURES[],3,FALSE))</f>
        <v>Ready to go measures</v>
      </c>
      <c r="G14" s="10" t="str">
        <f>IF(D14="","",VLOOKUP(D14,T_MEASURES[],6,FALSE))</f>
        <v>Offering climate shelters (coordination with other entities, review of facilities, advertising and communication)</v>
      </c>
      <c r="H14" s="28">
        <f>IF(D14="","",VLOOKUP(D14,T_MEASURES[],21,FALSE))</f>
        <v>2</v>
      </c>
      <c r="I14" s="28" t="str">
        <f>IF(D14="","",VLOOKUP(D14,T_MEASURES[],11,FALSE))</f>
        <v>€€</v>
      </c>
      <c r="J14" s="8" t="str">
        <f>IF(D14="","",MID(VLOOKUP(D14,T_MEASURES[],20,FALSE),FIND(". ",VLOOKUP(D14,T_MEASURES[],20,FALSE))+2,FIND(" (",VLOOKUP(D14,T_MEASURES[],20,FALSE))-FIND(".",VLOOKUP(D14,T_MEASURES[],20,FALSE))-2))</f>
        <v>High</v>
      </c>
      <c r="K14" s="99">
        <f>IF(D14="","",VLOOKUP(D14,T_MEASURES[],66,FALSE))</f>
        <v>212.50000109000001</v>
      </c>
      <c r="L14" s="43"/>
      <c r="M14" s="144" t="s">
        <v>57</v>
      </c>
      <c r="N14" s="145"/>
      <c r="O14" s="145"/>
      <c r="P14" s="145"/>
      <c r="Q14" s="146"/>
      <c r="R14" s="43"/>
      <c r="S14" s="48"/>
    </row>
    <row r="15" spans="1:19" ht="28.2" customHeight="1" x14ac:dyDescent="0.3">
      <c r="A15" s="43"/>
      <c r="B15" s="48"/>
      <c r="C15" s="43"/>
      <c r="D15" s="7">
        <f>IF( ISERROR(VLOOKUP(ROW(C15)-9,T_MEASURES[],2,FALSE)), "", ROW(C15)-9 )</f>
        <v>6</v>
      </c>
      <c r="E15" s="13" t="str">
        <f>IF(D15="","",VLOOKUP(D15,T_MEASURES[],2,FALSE))</f>
        <v>Med 93</v>
      </c>
      <c r="F15" s="14" t="str">
        <f>IF(D15="","",VLOOKUP(D15,T_MEASURES[],3,FALSE))</f>
        <v>Ready to go measures</v>
      </c>
      <c r="G15" s="14" t="str">
        <f>IF(D15="","",VLOOKUP(D15,T_MEASURES[],6,FALSE))</f>
        <v>Review of first aid kits in public centers to verify the availability of suitable material in case of having to attend cases regarding exceptional high temperatures</v>
      </c>
      <c r="H15" s="29">
        <f>IF(D15="","",VLOOKUP(D15,T_MEASURES[],21,FALSE))</f>
        <v>4</v>
      </c>
      <c r="I15" s="29" t="str">
        <f>IF(D15="","",VLOOKUP(D15,T_MEASURES[],11,FALSE))</f>
        <v>€</v>
      </c>
      <c r="J15" s="7" t="str">
        <f>IF(D15="","",MID(VLOOKUP(D15,T_MEASURES[],20,FALSE),FIND(". ",VLOOKUP(D15,T_MEASURES[],20,FALSE))+2,FIND(" (",VLOOKUP(D15,T_MEASURES[],20,FALSE))-FIND(".",VLOOKUP(D15,T_MEASURES[],20,FALSE))-2))</f>
        <v>Medium</v>
      </c>
      <c r="K15" s="100">
        <f>IF(D15="","",VLOOKUP(D15,T_MEASURES[],66,FALSE))</f>
        <v>212.50000093</v>
      </c>
      <c r="L15" s="43"/>
      <c r="M15" s="12" t="s">
        <v>58</v>
      </c>
      <c r="N15" s="11">
        <f>COUNTIFS(T_MEASURES[Buildings and public facilities],1,T_MEASURES[Weight Criterion],"&gt;0")</f>
        <v>37</v>
      </c>
      <c r="O15" s="43"/>
      <c r="P15" s="43"/>
      <c r="Q15" s="43"/>
      <c r="R15" s="43"/>
      <c r="S15" s="48"/>
    </row>
    <row r="16" spans="1:19" ht="28.2" customHeight="1" x14ac:dyDescent="0.3">
      <c r="A16" s="43"/>
      <c r="B16" s="48"/>
      <c r="C16" s="43"/>
      <c r="D16" s="8">
        <f>IF( ISERROR(VLOOKUP(ROW(C16)-9,T_MEASURES[],2,FALSE)), "", ROW(C16)-9 )</f>
        <v>7</v>
      </c>
      <c r="E16" s="9" t="str">
        <f>IF(D16="","",VLOOKUP(D16,T_MEASURES[],2,FALSE))</f>
        <v>Med 86</v>
      </c>
      <c r="F16" s="10" t="str">
        <f>IF(D16="","",VLOOKUP(D16,T_MEASURES[],3,FALSE))</f>
        <v>Ready to go measures</v>
      </c>
      <c r="G16" s="10" t="str">
        <f>IF(D16="","",VLOOKUP(D16,T_MEASURES[],6,FALSE))</f>
        <v xml:space="preserve">Establishment of coordination systems and protocols between police, emergency and social services to develop actions aimed at preventing, detecting and caring for people in situations of homelessness in the face of extreme heat waves </v>
      </c>
      <c r="H16" s="28">
        <f>IF(D16="","",VLOOKUP(D16,T_MEASURES[],21,FALSE))</f>
        <v>3</v>
      </c>
      <c r="I16" s="28" t="str">
        <f>IF(D16="","",VLOOKUP(D16,T_MEASURES[],11,FALSE))</f>
        <v>€</v>
      </c>
      <c r="J16" s="8" t="str">
        <f>IF(D16="","",MID(VLOOKUP(D16,T_MEASURES[],20,FALSE),FIND(". ",VLOOKUP(D16,T_MEASURES[],20,FALSE))+2,FIND(" (",VLOOKUP(D16,T_MEASURES[],20,FALSE))-FIND(".",VLOOKUP(D16,T_MEASURES[],20,FALSE))-2))</f>
        <v>High</v>
      </c>
      <c r="K16" s="99">
        <f>IF(D16="","",VLOOKUP(D16,T_MEASURES[],66,FALSE))</f>
        <v>212.50000085999997</v>
      </c>
      <c r="L16" s="43"/>
      <c r="M16" s="12" t="s">
        <v>59</v>
      </c>
      <c r="N16" s="11">
        <f>COUNTIFS(T_MEASURES[Urban planning],1,T_MEASURES[Weight Criterion],"&gt;0")</f>
        <v>20</v>
      </c>
      <c r="O16" s="43"/>
      <c r="P16" s="43"/>
      <c r="Q16" s="43"/>
      <c r="R16" s="43"/>
      <c r="S16" s="48"/>
    </row>
    <row r="17" spans="1:19" ht="28.2" customHeight="1" x14ac:dyDescent="0.3">
      <c r="A17" s="43"/>
      <c r="B17" s="48"/>
      <c r="C17" s="43"/>
      <c r="D17" s="7">
        <f>IF( ISERROR(VLOOKUP(ROW(C17)-9,T_MEASURES[],2,FALSE)), "", ROW(C17)-9 )</f>
        <v>8</v>
      </c>
      <c r="E17" s="13" t="str">
        <f>IF(D17="","",VLOOKUP(D17,T_MEASURES[],2,FALSE))</f>
        <v>Med 47</v>
      </c>
      <c r="F17" s="14" t="str">
        <f>IF(D17="","",VLOOKUP(D17,T_MEASURES[],3,FALSE))</f>
        <v>Prevention</v>
      </c>
      <c r="G17" s="14" t="str">
        <f>IF(D17="","",VLOOKUP(D17,T_MEASURES[],6,FALSE))</f>
        <v>Identification of climate shelters (forested areas, cool and air-conditioned indoor locations) where to protect yourself from high temperatures</v>
      </c>
      <c r="H17" s="29">
        <f>IF(D17="","",VLOOKUP(D17,T_MEASURES[],21,FALSE))</f>
        <v>3</v>
      </c>
      <c r="I17" s="29" t="str">
        <f>IF(D17="","",VLOOKUP(D17,T_MEASURES[],11,FALSE))</f>
        <v>€</v>
      </c>
      <c r="J17" s="7" t="str">
        <f>IF(D17="","",MID(VLOOKUP(D17,T_MEASURES[],20,FALSE),FIND(". ",VLOOKUP(D17,T_MEASURES[],20,FALSE))+2,FIND(" (",VLOOKUP(D17,T_MEASURES[],20,FALSE))-FIND(".",VLOOKUP(D17,T_MEASURES[],20,FALSE))-2))</f>
        <v>Low</v>
      </c>
      <c r="K17" s="100">
        <f>IF(D17="","",VLOOKUP(D17,T_MEASURES[],66,FALSE))</f>
        <v>212.50000047</v>
      </c>
      <c r="L17" s="43"/>
      <c r="M17" s="12" t="s">
        <v>60</v>
      </c>
      <c r="N17" s="11">
        <f>COUNTIFS(T_MEASURES[Culture and Sports],1,T_MEASURES[Weight Criterion],"&gt;0")</f>
        <v>25</v>
      </c>
      <c r="O17" s="43"/>
      <c r="P17" s="43"/>
      <c r="Q17" s="43"/>
      <c r="R17" s="43"/>
      <c r="S17" s="48"/>
    </row>
    <row r="18" spans="1:19" ht="28.2" customHeight="1" x14ac:dyDescent="0.3">
      <c r="A18" s="43"/>
      <c r="B18" s="48"/>
      <c r="C18" s="43"/>
      <c r="D18" s="8">
        <f>IF( ISERROR(VLOOKUP(ROW(C18)-9,T_MEASURES[],2,FALSE)), "", ROW(C18)-9 )</f>
        <v>9</v>
      </c>
      <c r="E18" s="9" t="str">
        <f>IF(D18="","",VLOOKUP(D18,T_MEASURES[],2,FALSE))</f>
        <v>Med 4</v>
      </c>
      <c r="F18" s="10" t="str">
        <f>IF(D18="","",VLOOKUP(D18,T_MEASURES[],3,FALSE))</f>
        <v>Prevention</v>
      </c>
      <c r="G18" s="10" t="str">
        <f>IF(D18="","",VLOOKUP(D18,T_MEASURES[],6,FALSE))</f>
        <v>Elaboration of a general procol of action in educational centers regarding heat waves</v>
      </c>
      <c r="H18" s="28">
        <f>IF(D18="","",VLOOKUP(D18,T_MEASURES[],21,FALSE))</f>
        <v>2</v>
      </c>
      <c r="I18" s="28" t="str">
        <f>IF(D18="","",VLOOKUP(D18,T_MEASURES[],11,FALSE))</f>
        <v>€</v>
      </c>
      <c r="J18" s="8" t="str">
        <f>IF(D18="","",MID(VLOOKUP(D18,T_MEASURES[],20,FALSE),FIND(". ",VLOOKUP(D18,T_MEASURES[],20,FALSE))+2,FIND(" (",VLOOKUP(D18,T_MEASURES[],20,FALSE))-FIND(".",VLOOKUP(D18,T_MEASURES[],20,FALSE))-2))</f>
        <v>No Risk</v>
      </c>
      <c r="K18" s="99">
        <f>IF(D18="","",VLOOKUP(D18,T_MEASURES[],66,FALSE))</f>
        <v>212.50000004</v>
      </c>
      <c r="L18" s="43"/>
      <c r="M18" s="12" t="s">
        <v>61</v>
      </c>
      <c r="N18" s="11">
        <f>COUNTIFS(T_MEASURES[Tourism],1,T_MEASURES[Weight Criterion],"&gt;0")</f>
        <v>9</v>
      </c>
      <c r="O18" s="43"/>
      <c r="P18" s="43"/>
      <c r="Q18" s="43"/>
      <c r="R18" s="43"/>
      <c r="S18" s="48"/>
    </row>
    <row r="19" spans="1:19" ht="28.2" customHeight="1" x14ac:dyDescent="0.3">
      <c r="A19" s="43"/>
      <c r="B19" s="48"/>
      <c r="C19" s="43"/>
      <c r="D19" s="7">
        <f>IF( ISERROR(VLOOKUP(ROW(C19)-9,T_MEASURES[],2,FALSE)), "", ROW(C19)-9 )</f>
        <v>10</v>
      </c>
      <c r="E19" s="13" t="str">
        <f>IF(D19="","",VLOOKUP(D19,T_MEASURES[],2,FALSE))</f>
        <v>Med 140</v>
      </c>
      <c r="F19" s="14" t="str">
        <f>IF(D19="","",VLOOKUP(D19,T_MEASURES[],3,FALSE))</f>
        <v>Communication and awareness raising</v>
      </c>
      <c r="G19" s="14" t="str">
        <f>IF(D19="","",VLOOKUP(D19,T_MEASURES[],6,FALSE))</f>
        <v>Development and publication (online or on paper) of a map of the climate shelter network</v>
      </c>
      <c r="H19" s="29">
        <f>IF(D19="","",VLOOKUP(D19,T_MEASURES[],21,FALSE))</f>
        <v>2</v>
      </c>
      <c r="I19" s="29" t="str">
        <f>IF(D19="","",VLOOKUP(D19,T_MEASURES[],11,FALSE))</f>
        <v>€</v>
      </c>
      <c r="J19" s="7" t="str">
        <f>IF(D19="","",MID(VLOOKUP(D19,T_MEASURES[],20,FALSE),FIND(". ",VLOOKUP(D19,T_MEASURES[],20,FALSE))+2,FIND(" (",VLOOKUP(D19,T_MEASURES[],20,FALSE))-FIND(".",VLOOKUP(D19,T_MEASURES[],20,FALSE))-2))</f>
        <v>High</v>
      </c>
      <c r="K19" s="100">
        <f>IF(D19="","",VLOOKUP(D19,T_MEASURES[],66,FALSE))</f>
        <v>200.00000139999997</v>
      </c>
      <c r="L19" s="43"/>
      <c r="M19" s="12" t="s">
        <v>62</v>
      </c>
      <c r="N19" s="11">
        <f>COUNTIFS(T_MEASURES[Occupational risks],1,T_MEASURES[Weight Criterion],"&gt;0")</f>
        <v>16</v>
      </c>
      <c r="O19" s="43"/>
      <c r="P19" s="43"/>
      <c r="Q19" s="43"/>
      <c r="R19" s="43"/>
      <c r="S19" s="48"/>
    </row>
    <row r="20" spans="1:19" ht="28.2" customHeight="1" x14ac:dyDescent="0.3">
      <c r="A20" s="43"/>
      <c r="B20" s="48"/>
      <c r="C20" s="43"/>
      <c r="D20" s="9">
        <f>IF( ISERROR(VLOOKUP(ROW(C20)-9,T_MEASURES[],2,FALSE)), "", ROW(C20)-9 )</f>
        <v>11</v>
      </c>
      <c r="E20" s="9" t="str">
        <f>IF(D20="","",VLOOKUP(D20,T_MEASURES[],2,FALSE))</f>
        <v>Med 134</v>
      </c>
      <c r="F20" s="10" t="str">
        <f>IF(D20="","",VLOOKUP(D20,T_MEASURES[],3,FALSE))</f>
        <v>Communication and awareness raising</v>
      </c>
      <c r="G20" s="10" t="str">
        <f>IF(D20="","",VLOOKUP(D20,T_MEASURES[],6,FALSE))</f>
        <v>Campaign to promote solidarity and prevention in the family, neighborhood and community environment, especially for the care of sick and people in need.</v>
      </c>
      <c r="H20" s="28">
        <f>IF(D20="","",VLOOKUP(D20,T_MEASURES[],21,FALSE))</f>
        <v>1</v>
      </c>
      <c r="I20" s="28" t="str">
        <f>IF(D20="","",VLOOKUP(D20,T_MEASURES[],11,FALSE))</f>
        <v>€</v>
      </c>
      <c r="J20" s="8" t="str">
        <f>IF(D20="","",MID(VLOOKUP(D20,T_MEASURES[],20,FALSE),FIND(". ",VLOOKUP(D20,T_MEASURES[],20,FALSE))+2,FIND(" (",VLOOKUP(D20,T_MEASURES[],20,FALSE))-FIND(".",VLOOKUP(D20,T_MEASURES[],20,FALSE))-2))</f>
        <v>High</v>
      </c>
      <c r="K20" s="99">
        <f>IF(D20="","",VLOOKUP(D20,T_MEASURES[],66,FALSE))</f>
        <v>200.00000134000001</v>
      </c>
      <c r="L20" s="43"/>
      <c r="M20" s="12" t="s">
        <v>63</v>
      </c>
      <c r="N20" s="11">
        <f>COUNTIFS(T_MEASURES[Education],1,T_MEASURES[Weight Criterion],"&gt;0")</f>
        <v>31</v>
      </c>
      <c r="O20" s="43"/>
      <c r="P20" s="43"/>
      <c r="Q20" s="43"/>
      <c r="R20" s="43"/>
      <c r="S20" s="48"/>
    </row>
    <row r="21" spans="1:19" ht="28.2" customHeight="1" x14ac:dyDescent="0.3">
      <c r="A21" s="43"/>
      <c r="B21" s="48"/>
      <c r="C21" s="43"/>
      <c r="D21" s="13">
        <f>IF( ISERROR(VLOOKUP(ROW(C21)-9,T_MEASURES[],2,FALSE)), "", ROW(C21)-9 )</f>
        <v>12</v>
      </c>
      <c r="E21" s="13" t="str">
        <f>IF(D21="","",VLOOKUP(D21,T_MEASURES[],2,FALSE))</f>
        <v>Med 128</v>
      </c>
      <c r="F21" s="14" t="str">
        <f>IF(D21="","",VLOOKUP(D21,T_MEASURES[],3,FALSE))</f>
        <v>Communication and awareness raising</v>
      </c>
      <c r="G21" s="14" t="str">
        <f>IF(D21="","",VLOOKUP(D21,T_MEASURES[],6,FALSE))</f>
        <v>Campaigns to strengthen the social network of elderly people living alone, through volunteering or telecare during the summer (e.g. contact at least once a day to assess their well-being)</v>
      </c>
      <c r="H21" s="29">
        <f>IF(D21="","",VLOOKUP(D21,T_MEASURES[],21,FALSE))</f>
        <v>1</v>
      </c>
      <c r="I21" s="29" t="str">
        <f>IF(D21="","",VLOOKUP(D21,T_MEASURES[],11,FALSE))</f>
        <v>€</v>
      </c>
      <c r="J21" s="7" t="str">
        <f>IF(D21="","",MID(VLOOKUP(D21,T_MEASURES[],20,FALSE),FIND(". ",VLOOKUP(D21,T_MEASURES[],20,FALSE))+2,FIND(" (",VLOOKUP(D21,T_MEASURES[],20,FALSE))-FIND(".",VLOOKUP(D21,T_MEASURES[],20,FALSE))-2))</f>
        <v>High</v>
      </c>
      <c r="K21" s="100">
        <f>IF(D21="","",VLOOKUP(D21,T_MEASURES[],66,FALSE))</f>
        <v>200.00000128000002</v>
      </c>
      <c r="L21" s="43"/>
      <c r="M21" s="12" t="s">
        <v>64</v>
      </c>
      <c r="N21" s="11">
        <f>COUNTIFS(T_MEASURES[Social Services],1,T_MEASURES[Weight Criterion],"&gt;0")</f>
        <v>32</v>
      </c>
      <c r="O21" s="43"/>
      <c r="P21" s="43"/>
      <c r="Q21" s="43"/>
      <c r="R21" s="43"/>
      <c r="S21" s="48"/>
    </row>
    <row r="22" spans="1:19" ht="28.2" customHeight="1" x14ac:dyDescent="0.3">
      <c r="A22" s="43"/>
      <c r="B22" s="48"/>
      <c r="C22" s="43"/>
      <c r="D22" s="9">
        <f>IF( ISERROR(VLOOKUP(ROW(C22)-9,T_MEASURES[],2,FALSE)), "", ROW(C22)-9 )</f>
        <v>13</v>
      </c>
      <c r="E22" s="9" t="str">
        <f>IF(D22="","",VLOOKUP(D22,T_MEASURES[],2,FALSE))</f>
        <v>Med 124</v>
      </c>
      <c r="F22" s="10" t="str">
        <f>IF(D22="","",VLOOKUP(D22,T_MEASURES[],3,FALSE))</f>
        <v>Communication and awareness raising</v>
      </c>
      <c r="G22" s="10" t="str">
        <f>IF(D22="","",VLOOKUP(D22,T_MEASURES[],6,FALSE))</f>
        <v xml:space="preserve">Training of agents involved in the system of prevention of high extreme temperatures on the protocol of action </v>
      </c>
      <c r="H22" s="28">
        <f>IF(D22="","",VLOOKUP(D22,T_MEASURES[],21,FALSE))</f>
        <v>3</v>
      </c>
      <c r="I22" s="28" t="str">
        <f>IF(D22="","",VLOOKUP(D22,T_MEASURES[],11,FALSE))</f>
        <v>€</v>
      </c>
      <c r="J22" s="8" t="str">
        <f>IF(D22="","",MID(VLOOKUP(D22,T_MEASURES[],20,FALSE),FIND(". ",VLOOKUP(D22,T_MEASURES[],20,FALSE))+2,FIND(" (",VLOOKUP(D22,T_MEASURES[],20,FALSE))-FIND(".",VLOOKUP(D22,T_MEASURES[],20,FALSE))-2))</f>
        <v>Low</v>
      </c>
      <c r="K22" s="99">
        <f>IF(D22="","",VLOOKUP(D22,T_MEASURES[],66,FALSE))</f>
        <v>200.00000124000002</v>
      </c>
      <c r="L22" s="43"/>
      <c r="M22" s="12" t="s">
        <v>65</v>
      </c>
      <c r="N22" s="11">
        <f>COUNTIFS(T_MEASURES[Emergency Services and Police],1,T_MEASURES[Weight Criterion],"&gt;0")</f>
        <v>11</v>
      </c>
      <c r="O22" s="43"/>
      <c r="P22" s="43"/>
      <c r="Q22" s="43"/>
      <c r="R22" s="43"/>
      <c r="S22" s="48"/>
    </row>
    <row r="23" spans="1:19" ht="28.2" customHeight="1" x14ac:dyDescent="0.3">
      <c r="A23" s="43"/>
      <c r="B23" s="48"/>
      <c r="C23" s="43"/>
      <c r="D23" s="13">
        <f>IF( ISERROR(VLOOKUP(ROW(C23)-9,T_MEASURES[],2,FALSE)), "", ROW(C23)-9 )</f>
        <v>14</v>
      </c>
      <c r="E23" s="13" t="str">
        <f>IF(D23="","",VLOOKUP(D23,T_MEASURES[],2,FALSE))</f>
        <v>Med 123</v>
      </c>
      <c r="F23" s="14" t="str">
        <f>IF(D23="","",VLOOKUP(D23,T_MEASURES[],3,FALSE))</f>
        <v>Communication and awareness raising</v>
      </c>
      <c r="G23" s="14" t="str">
        <f>IF(D23="","",VLOOKUP(D23,T_MEASURES[],6,FALSE))</f>
        <v>Training and information aimed at workers who carry out activities outside on the effects of high temperatures on health, the symptoms prior to heat stroke, as well as the specific preventive measures to be adopted</v>
      </c>
      <c r="H23" s="29">
        <f>IF(D23="","",VLOOKUP(D23,T_MEASURES[],21,FALSE))</f>
        <v>1</v>
      </c>
      <c r="I23" s="29" t="str">
        <f>IF(D23="","",VLOOKUP(D23,T_MEASURES[],11,FALSE))</f>
        <v>€</v>
      </c>
      <c r="J23" s="7" t="str">
        <f>IF(D23="","",MID(VLOOKUP(D23,T_MEASURES[],20,FALSE),FIND(". ",VLOOKUP(D23,T_MEASURES[],20,FALSE))+2,FIND(" (",VLOOKUP(D23,T_MEASURES[],20,FALSE))-FIND(".",VLOOKUP(D23,T_MEASURES[],20,FALSE))-2))</f>
        <v>Medium</v>
      </c>
      <c r="K23" s="100">
        <f>IF(D23="","",VLOOKUP(D23,T_MEASURES[],66,FALSE))</f>
        <v>200.00000123000001</v>
      </c>
      <c r="L23" s="43"/>
      <c r="M23" s="12" t="s">
        <v>66</v>
      </c>
      <c r="N23" s="11">
        <f>COUNTIFS(T_MEASURES[Parks and gardens (Urban Green Infrastructure)],1,T_MEASURES[Weight Criterion],"&gt;0")</f>
        <v>17</v>
      </c>
      <c r="O23" s="43"/>
      <c r="P23" s="43"/>
      <c r="Q23" s="43"/>
      <c r="R23" s="43"/>
      <c r="S23" s="48"/>
    </row>
    <row r="24" spans="1:19" ht="28.2" customHeight="1" x14ac:dyDescent="0.3">
      <c r="A24" s="43"/>
      <c r="B24" s="48"/>
      <c r="C24" s="43"/>
      <c r="D24" s="9">
        <f>IF( ISERROR(VLOOKUP(ROW(C24)-9,T_MEASURES[],2,FALSE)), "", ROW(C24)-9 )</f>
        <v>15</v>
      </c>
      <c r="E24" s="9" t="str">
        <f>IF(D24="","",VLOOKUP(D24,T_MEASURES[],2,FALSE))</f>
        <v>Med 121</v>
      </c>
      <c r="F24" s="10" t="str">
        <f>IF(D24="","",VLOOKUP(D24,T_MEASURES[],3,FALSE))</f>
        <v>Communication and awareness raising</v>
      </c>
      <c r="G24" s="10" t="str">
        <f>IF(D24="","",VLOOKUP(D24,T_MEASURES[],6,FALSE))</f>
        <v>Classification and "personification" of heat waves, giving them a name (as it is done with earthquakes and hurricanes) with the goal of sensitizing citizens so they take effective measures to protect themselves from extreme heat.</v>
      </c>
      <c r="H24" s="28">
        <f>IF(D24="","",VLOOKUP(D24,T_MEASURES[],21,FALSE))</f>
        <v>1</v>
      </c>
      <c r="I24" s="28" t="str">
        <f>IF(D24="","",VLOOKUP(D24,T_MEASURES[],11,FALSE))</f>
        <v>€</v>
      </c>
      <c r="J24" s="8" t="str">
        <f>IF(D24="","",MID(VLOOKUP(D24,T_MEASURES[],20,FALSE),FIND(". ",VLOOKUP(D24,T_MEASURES[],20,FALSE))+2,FIND(" (",VLOOKUP(D24,T_MEASURES[],20,FALSE))-FIND(".",VLOOKUP(D24,T_MEASURES[],20,FALSE))-2))</f>
        <v>High</v>
      </c>
      <c r="K24" s="99">
        <f>IF(D24="","",VLOOKUP(D24,T_MEASURES[],66,FALSE))</f>
        <v>200.00000121000002</v>
      </c>
      <c r="L24" s="43"/>
      <c r="M24" s="12" t="s">
        <v>67</v>
      </c>
      <c r="N24" s="11">
        <f>COUNTIFS(T_MEASURES[Transport],1,T_MEASURES[Weight Criterion],"&gt;0")</f>
        <v>5</v>
      </c>
      <c r="O24" s="43"/>
      <c r="P24" s="43"/>
      <c r="Q24" s="43"/>
      <c r="R24" s="43"/>
      <c r="S24" s="48"/>
    </row>
    <row r="25" spans="1:19" ht="28.2" customHeight="1" x14ac:dyDescent="0.3">
      <c r="A25" s="43"/>
      <c r="B25" s="48"/>
      <c r="C25" s="43"/>
      <c r="D25" s="13">
        <f>IF( ISERROR(VLOOKUP(ROW(C25)-9,T_MEASURES[],2,FALSE)), "", ROW(C25)-9 )</f>
        <v>16</v>
      </c>
      <c r="E25" s="13" t="str">
        <f>IF(D25="","",VLOOKUP(D25,T_MEASURES[],2,FALSE))</f>
        <v>Med 120</v>
      </c>
      <c r="F25" s="14" t="str">
        <f>IF(D25="","",VLOOKUP(D25,T_MEASURES[],3,FALSE))</f>
        <v>Communication and awareness raising</v>
      </c>
      <c r="G25" s="14" t="str">
        <f>IF(D25="","",VLOOKUP(D25,T_MEASURES[],6,FALSE))</f>
        <v xml:space="preserve">Training teachers to identify the effects of the body in the event of heat stroke in educational centres </v>
      </c>
      <c r="H25" s="29">
        <f>IF(D25="","",VLOOKUP(D25,T_MEASURES[],21,FALSE))</f>
        <v>1</v>
      </c>
      <c r="I25" s="29" t="str">
        <f>IF(D25="","",VLOOKUP(D25,T_MEASURES[],11,FALSE))</f>
        <v>€</v>
      </c>
      <c r="J25" s="7" t="str">
        <f>IF(D25="","",MID(VLOOKUP(D25,T_MEASURES[],20,FALSE),FIND(". ",VLOOKUP(D25,T_MEASURES[],20,FALSE))+2,FIND(" (",VLOOKUP(D25,T_MEASURES[],20,FALSE))-FIND(".",VLOOKUP(D25,T_MEASURES[],20,FALSE))-2))</f>
        <v>Medium</v>
      </c>
      <c r="K25" s="100">
        <f>IF(D25="","",VLOOKUP(D25,T_MEASURES[],66,FALSE))</f>
        <v>200.00000120000001</v>
      </c>
      <c r="L25" s="43"/>
      <c r="M25" s="12" t="s">
        <v>68</v>
      </c>
      <c r="N25" s="11">
        <f>COUNTIFS(T_MEASURES[Coordination],1,T_MEASURES[Weight Criterion],"&gt;0")</f>
        <v>24</v>
      </c>
      <c r="O25" s="43"/>
      <c r="P25" s="43"/>
      <c r="Q25" s="43"/>
      <c r="R25" s="43"/>
      <c r="S25" s="48"/>
    </row>
    <row r="26" spans="1:19" ht="28.2" customHeight="1" x14ac:dyDescent="0.3">
      <c r="A26" s="43"/>
      <c r="B26" s="48"/>
      <c r="C26" s="43"/>
      <c r="D26" s="9">
        <f>IF( ISERROR(VLOOKUP(ROW(C26)-9,T_MEASURES[],2,FALSE)), "", ROW(C26)-9 )</f>
        <v>17</v>
      </c>
      <c r="E26" s="9" t="str">
        <f>IF(D26="","",VLOOKUP(D26,T_MEASURES[],2,FALSE))</f>
        <v>Med 119</v>
      </c>
      <c r="F26" s="10" t="str">
        <f>IF(D26="","",VLOOKUP(D26,T_MEASURES[],3,FALSE))</f>
        <v>Communication and awareness raising</v>
      </c>
      <c r="G26" s="10" t="str">
        <f>IF(D26="","",VLOOKUP(D26,T_MEASURES[],6,FALSE))</f>
        <v>Training for families on how to avoid risks arising from extreme heat in childhood, providing information on protection against exceptional high temperatures (clothing, use of sun protection ...), or adequate breakfasts.</v>
      </c>
      <c r="H26" s="28">
        <f>IF(D26="","",VLOOKUP(D26,T_MEASURES[],21,FALSE))</f>
        <v>1</v>
      </c>
      <c r="I26" s="28" t="str">
        <f>IF(D26="","",VLOOKUP(D26,T_MEASURES[],11,FALSE))</f>
        <v>€</v>
      </c>
      <c r="J26" s="8" t="str">
        <f>IF(D26="","",MID(VLOOKUP(D26,T_MEASURES[],20,FALSE),FIND(". ",VLOOKUP(D26,T_MEASURES[],20,FALSE))+2,FIND(" (",VLOOKUP(D26,T_MEASURES[],20,FALSE))-FIND(".",VLOOKUP(D26,T_MEASURES[],20,FALSE))-2))</f>
        <v>Medium</v>
      </c>
      <c r="K26" s="99">
        <f>IF(D26="","",VLOOKUP(D26,T_MEASURES[],66,FALSE))</f>
        <v>200.00000119000001</v>
      </c>
      <c r="L26" s="43"/>
      <c r="M26" s="43"/>
      <c r="N26" s="43"/>
      <c r="O26" s="43"/>
      <c r="P26" s="43"/>
      <c r="Q26" s="43"/>
      <c r="R26" s="43"/>
      <c r="S26" s="48"/>
    </row>
    <row r="27" spans="1:19" ht="28.2" customHeight="1" x14ac:dyDescent="0.3">
      <c r="A27" s="43"/>
      <c r="B27" s="48"/>
      <c r="C27" s="43"/>
      <c r="D27" s="13">
        <f>IF( ISERROR(VLOOKUP(ROW(C27)-9,T_MEASURES[],2,FALSE)), "", ROW(C27)-9 )</f>
        <v>18</v>
      </c>
      <c r="E27" s="13" t="str">
        <f>IF(D27="","",VLOOKUP(D27,T_MEASURES[],2,FALSE))</f>
        <v>Med 101</v>
      </c>
      <c r="F27" s="14" t="str">
        <f>IF(D27="","",VLOOKUP(D27,T_MEASURES[],3,FALSE))</f>
        <v>Ready to go measures</v>
      </c>
      <c r="G27" s="14" t="str">
        <f>IF(D27="","",VLOOKUP(D27,T_MEASURES[],6,FALSE))</f>
        <v>Monitoring and adaptation of sporting events (celebration outside hotter hours, assessment of suspension or postponement in case of extreme temperatures, ensuring numbers and places of hydration or refreshment points, etc.)</v>
      </c>
      <c r="H27" s="29">
        <f>IF(D27="","",VLOOKUP(D27,T_MEASURES[],21,FALSE))</f>
        <v>1</v>
      </c>
      <c r="I27" s="29" t="str">
        <f>IF(D27="","",VLOOKUP(D27,T_MEASURES[],11,FALSE))</f>
        <v>€</v>
      </c>
      <c r="J27" s="7" t="str">
        <f>IF(D27="","",MID(VLOOKUP(D27,T_MEASURES[],20,FALSE),FIND(". ",VLOOKUP(D27,T_MEASURES[],20,FALSE))+2,FIND(" (",VLOOKUP(D27,T_MEASURES[],20,FALSE))-FIND(".",VLOOKUP(D27,T_MEASURES[],20,FALSE))-2))</f>
        <v>High</v>
      </c>
      <c r="K27" s="100">
        <f>IF(D27="","",VLOOKUP(D27,T_MEASURES[],66,FALSE))</f>
        <v>200.00000101000001</v>
      </c>
      <c r="L27" s="43"/>
      <c r="M27" s="144" t="s">
        <v>69</v>
      </c>
      <c r="N27" s="145"/>
      <c r="O27" s="145"/>
      <c r="P27" s="145"/>
      <c r="Q27" s="146"/>
      <c r="R27" s="43"/>
      <c r="S27" s="48"/>
    </row>
    <row r="28" spans="1:19" ht="28.2" customHeight="1" x14ac:dyDescent="0.3">
      <c r="A28" s="43"/>
      <c r="B28" s="48"/>
      <c r="C28" s="43"/>
      <c r="D28" s="9">
        <f>IF( ISERROR(VLOOKUP(ROW(C28)-9,T_MEASURES[],2,FALSE)), "", ROW(C28)-9 )</f>
        <v>19</v>
      </c>
      <c r="E28" s="9" t="str">
        <f>IF(D28="","",VLOOKUP(D28,T_MEASURES[],2,FALSE))</f>
        <v>Med 100</v>
      </c>
      <c r="F28" s="10" t="str">
        <f>IF(D28="","",VLOOKUP(D28,T_MEASURES[],3,FALSE))</f>
        <v>Ready to go measures</v>
      </c>
      <c r="G28" s="10" t="str">
        <f>IF(D28="","",VLOOKUP(D28,T_MEASURES[],6,FALSE))</f>
        <v>Municipal services network: identification of target population and contact through home help and telecare services and social centres</v>
      </c>
      <c r="H28" s="28">
        <f>IF(D28="","",VLOOKUP(D28,T_MEASURES[],21,FALSE))</f>
        <v>1</v>
      </c>
      <c r="I28" s="28" t="str">
        <f>IF(D28="","",VLOOKUP(D28,T_MEASURES[],11,FALSE))</f>
        <v>€</v>
      </c>
      <c r="J28" s="8" t="str">
        <f>IF(D28="","",MID(VLOOKUP(D28,T_MEASURES[],20,FALSE),FIND(". ",VLOOKUP(D28,T_MEASURES[],20,FALSE))+2,FIND(" (",VLOOKUP(D28,T_MEASURES[],20,FALSE))-FIND(".",VLOOKUP(D28,T_MEASURES[],20,FALSE))-2))</f>
        <v>High</v>
      </c>
      <c r="K28" s="99">
        <f>IF(D28="","",VLOOKUP(D28,T_MEASURES[],66,FALSE))</f>
        <v>200.000001</v>
      </c>
      <c r="L28" s="43"/>
      <c r="M28" s="49" t="s">
        <v>35</v>
      </c>
      <c r="N28" s="49" t="s">
        <v>70</v>
      </c>
      <c r="O28" s="49" t="s">
        <v>411</v>
      </c>
      <c r="P28" s="49" t="s">
        <v>412</v>
      </c>
      <c r="Q28" s="51" t="s">
        <v>413</v>
      </c>
      <c r="R28" s="43"/>
      <c r="S28" s="48"/>
    </row>
    <row r="29" spans="1:19" ht="28.2" customHeight="1" x14ac:dyDescent="0.3">
      <c r="A29" s="43"/>
      <c r="B29" s="48"/>
      <c r="C29" s="43"/>
      <c r="D29" s="13">
        <f>IF( ISERROR(VLOOKUP(ROW(C29)-9,T_MEASURES[],2,FALSE)), "", ROW(C29)-9 )</f>
        <v>20</v>
      </c>
      <c r="E29" s="13" t="str">
        <f>IF(D29="","",VLOOKUP(D29,T_MEASURES[],2,FALSE))</f>
        <v>Med 96</v>
      </c>
      <c r="F29" s="14" t="str">
        <f>IF(D29="","",VLOOKUP(D29,T_MEASURES[],3,FALSE))</f>
        <v>Ready to go measures</v>
      </c>
      <c r="G29" s="14" t="str">
        <f>IF(D29="","",VLOOKUP(D29,T_MEASURES[],6,FALSE))</f>
        <v>Improve ventilation of public buildings to reduce indoor temperature: ventilation in the coolest hours of the day, favoring the natural cross ventilation of the spaces, and favoring the entry of air from shady areas</v>
      </c>
      <c r="H29" s="29">
        <f>IF(D29="","",VLOOKUP(D29,T_MEASURES[],21,FALSE))</f>
        <v>4</v>
      </c>
      <c r="I29" s="29" t="str">
        <f>IF(D29="","",VLOOKUP(D29,T_MEASURES[],11,FALSE))</f>
        <v>€</v>
      </c>
      <c r="J29" s="7" t="str">
        <f>IF(D29="","",MID(VLOOKUP(D29,T_MEASURES[],20,FALSE),FIND(". ",VLOOKUP(D29,T_MEASURES[],20,FALSE))+2,FIND(" (",VLOOKUP(D29,T_MEASURES[],20,FALSE))-FIND(".",VLOOKUP(D29,T_MEASURES[],20,FALSE))-2))</f>
        <v>High</v>
      </c>
      <c r="K29" s="100">
        <f>IF(D29="","",VLOOKUP(D29,T_MEASURES[],66,FALSE))</f>
        <v>200.00000095999999</v>
      </c>
      <c r="L29" s="43"/>
      <c r="M29" s="12" t="s">
        <v>71</v>
      </c>
      <c r="N29" s="104">
        <f>AVERAGEIF(T_MEASURES[Rank],"&gt;0",T_MEASURES[C1_Urban Cooling])*'2.WEIGHTS'!$M$12*100</f>
        <v>5.6737588652482271</v>
      </c>
      <c r="O29" s="104">
        <f>AVERAGEIFS(T_MEASURES[C1_Urban Cooling], T_MEASURES[Rank],"&lt;=20", T_MEASURES[Weight Criterion], "&gt;0")*'2.WEIGHTS'!$M$12*100</f>
        <v>0.625</v>
      </c>
      <c r="P29" s="104">
        <f>AVERAGEIF(T_MEASURES[Rank], "&gt;="&amp;MAX(T_MEASURES[Rank])-19,T_MEASURES[C1_Urban Cooling])*'2.WEIGHTS'!$M$12*100</f>
        <v>12.5</v>
      </c>
      <c r="Q29" s="36"/>
      <c r="R29" s="43"/>
      <c r="S29" s="48"/>
    </row>
    <row r="30" spans="1:19" ht="28.2" customHeight="1" x14ac:dyDescent="0.3">
      <c r="A30" s="43"/>
      <c r="B30" s="48"/>
      <c r="C30" s="43"/>
      <c r="D30" s="11">
        <f>IF( ISERROR(VLOOKUP(ROW(C30)-9,T_MEASURES[],2,FALSE)), "", ROW(C30)-9 )</f>
        <v>21</v>
      </c>
      <c r="E30" s="11" t="str">
        <f>IF(D30="","",VLOOKUP(D30,T_MEASURES[],2,FALSE))</f>
        <v>Med 92</v>
      </c>
      <c r="F30" s="16" t="str">
        <f>IF(D30="","",VLOOKUP(D30,T_MEASURES[],3,FALSE))</f>
        <v>Ready to go measures</v>
      </c>
      <c r="G30" s="16" t="str">
        <f>IF(D30="","",VLOOKUP(D30,T_MEASURES[],6,FALSE))</f>
        <v>Review of complementary activities outside the educational center (visits, excursions, cultural, recreational or sports activities) for rescheduling, postponement or cancellation under the criterion of protection of all members of the educational community</v>
      </c>
      <c r="H30" s="30">
        <f>IF(D30="","",VLOOKUP(D30,T_MEASURES[],21,FALSE))</f>
        <v>1</v>
      </c>
      <c r="I30" s="30" t="str">
        <f>IF(D30="","",VLOOKUP(D30,T_MEASURES[],11,FALSE))</f>
        <v>€</v>
      </c>
      <c r="J30" s="94" t="str">
        <f>IF(D30="","",MID(VLOOKUP(D30,T_MEASURES[],20,FALSE),FIND(". ",VLOOKUP(D30,T_MEASURES[],20,FALSE))+2,FIND(" (",VLOOKUP(D30,T_MEASURES[],20,FALSE))-FIND(".",VLOOKUP(D30,T_MEASURES[],20,FALSE))-2))</f>
        <v>Medium</v>
      </c>
      <c r="K30" s="101">
        <f>IF(D30="","",VLOOKUP(D30,T_MEASURES[],66,FALSE))</f>
        <v>200.00000091999999</v>
      </c>
      <c r="L30" s="43"/>
      <c r="M30" s="12" t="s">
        <v>72</v>
      </c>
      <c r="N30" s="104">
        <f>AVERAGEIF(T_MEASURES[Rank],"&gt;0",T_MEASURES[C2_Green Blue])*'2.WEIGHTS'!$M$13*100</f>
        <v>2.5709219858156027</v>
      </c>
      <c r="O30" s="104">
        <f>AVERAGEIFS(T_MEASURES[C2_Green Blue], T_MEASURES[Rank],"&lt;=20", T_MEASURES[Weight Criterion], "&gt;0")*'2.WEIGHTS'!$M$13*100</f>
        <v>0</v>
      </c>
      <c r="P30" s="104">
        <f>AVERAGEIF(T_MEASURES[Rank], "&gt;="&amp;MAX(T_MEASURES[Rank])-19,T_MEASURES[C2_Green Blue])*'2.WEIGHTS'!$M$13*100</f>
        <v>7.5</v>
      </c>
      <c r="Q30" s="36"/>
      <c r="R30" s="43"/>
      <c r="S30" s="48"/>
    </row>
    <row r="31" spans="1:19" ht="28.2" customHeight="1" x14ac:dyDescent="0.3">
      <c r="A31" s="43"/>
      <c r="B31" s="48"/>
      <c r="C31" s="43"/>
      <c r="D31" s="17">
        <f>IF( ISERROR(VLOOKUP(ROW(C31)-9,T_MEASURES[],2,FALSE)), "", ROW(C31)-9 )</f>
        <v>22</v>
      </c>
      <c r="E31" s="17" t="str">
        <f>IF(D31="","",VLOOKUP(D31,T_MEASURES[],2,FALSE))</f>
        <v>Med 91</v>
      </c>
      <c r="F31" s="12" t="str">
        <f>IF(D31="","",VLOOKUP(D31,T_MEASURES[],3,FALSE))</f>
        <v>Ready to go measures</v>
      </c>
      <c r="G31" s="12" t="str">
        <f>IF(D31="","",VLOOKUP(D31,T_MEASURES[],6,FALSE))</f>
        <v>Flexibilization of the students' schedule to adapt to the circumstances of exceptional high temperatures, allowing early departure on days when the orange or red alert is activated, prior adequate communication to the families and authorization by legal representatives</v>
      </c>
      <c r="H31" s="31">
        <f>IF(D31="","",VLOOKUP(D31,T_MEASURES[],21,FALSE))</f>
        <v>1</v>
      </c>
      <c r="I31" s="31" t="str">
        <f>IF(D31="","",VLOOKUP(D31,T_MEASURES[],11,FALSE))</f>
        <v>€</v>
      </c>
      <c r="J31" s="95" t="str">
        <f>IF(D31="","",MID(VLOOKUP(D31,T_MEASURES[],20,FALSE),FIND(". ",VLOOKUP(D31,T_MEASURES[],20,FALSE))+2,FIND(" (",VLOOKUP(D31,T_MEASURES[],20,FALSE))-FIND(".",VLOOKUP(D31,T_MEASURES[],20,FALSE))-2))</f>
        <v>High</v>
      </c>
      <c r="K31" s="102">
        <f>IF(D31="","",VLOOKUP(D31,T_MEASURES[],66,FALSE))</f>
        <v>200.00000090999998</v>
      </c>
      <c r="L31" s="43"/>
      <c r="M31" s="12" t="s">
        <v>73</v>
      </c>
      <c r="N31" s="104">
        <f>AVERAGEIF(T_MEASURES[Rank],"&gt;0",T_MEASURES[C3_Vulnerable])*'2.WEIGHTS'!$M$14*100</f>
        <v>25.265957446808514</v>
      </c>
      <c r="O31" s="104">
        <f>AVERAGEIFS(T_MEASURES[C3_Vulnerable], T_MEASURES[Rank],"&lt;=20", T_MEASURES[Weight Criterion], "&gt;0")*'2.WEIGHTS'!$M$14*100</f>
        <v>34.375</v>
      </c>
      <c r="P31" s="104">
        <f>AVERAGEIF(T_MEASURES[Rank], "&gt;="&amp;MAX(T_MEASURES[Rank])-19,T_MEASURES[C3_Vulnerable])*'2.WEIGHTS'!$M$14*100</f>
        <v>11.875</v>
      </c>
      <c r="Q31" s="36"/>
      <c r="R31" s="43"/>
      <c r="S31" s="48"/>
    </row>
    <row r="32" spans="1:19" ht="28.2" customHeight="1" x14ac:dyDescent="0.3">
      <c r="A32" s="43"/>
      <c r="B32" s="48"/>
      <c r="C32" s="43"/>
      <c r="D32" s="11">
        <f>IF( ISERROR(VLOOKUP(ROW(C32)-9,T_MEASURES[],2,FALSE)), "", ROW(C32)-9 )</f>
        <v>23</v>
      </c>
      <c r="E32" s="11" t="str">
        <f>IF(D32="","",VLOOKUP(D32,T_MEASURES[],2,FALSE))</f>
        <v>Med 90</v>
      </c>
      <c r="F32" s="16" t="str">
        <f>IF(D32="","",VLOOKUP(D32,T_MEASURES[],3,FALSE))</f>
        <v>Ready to go measures</v>
      </c>
      <c r="G32" s="16" t="str">
        <f>IF(D32="","",VLOOKUP(D32,T_MEASURES[],6,FALSE))</f>
        <v>Alternative scheduling of after-school activities or summer school activities during heat waves</v>
      </c>
      <c r="H32" s="30">
        <f>IF(D32="","",VLOOKUP(D32,T_MEASURES[],21,FALSE))</f>
        <v>1</v>
      </c>
      <c r="I32" s="30" t="str">
        <f>IF(D32="","",VLOOKUP(D32,T_MEASURES[],11,FALSE))</f>
        <v>€</v>
      </c>
      <c r="J32" s="94" t="str">
        <f>IF(D32="","",MID(VLOOKUP(D32,T_MEASURES[],20,FALSE),FIND(". ",VLOOKUP(D32,T_MEASURES[],20,FALSE))+2,FIND(" (",VLOOKUP(D32,T_MEASURES[],20,FALSE))-FIND(".",VLOOKUP(D32,T_MEASURES[],20,FALSE))-2))</f>
        <v>High</v>
      </c>
      <c r="K32" s="101">
        <f>IF(D32="","",VLOOKUP(D32,T_MEASURES[],66,FALSE))</f>
        <v>200.00000089999997</v>
      </c>
      <c r="L32" s="43"/>
      <c r="M32" s="12" t="s">
        <v>74</v>
      </c>
      <c r="N32" s="104">
        <f>AVERAGEIF(T_MEASURES[Rank],"&gt;0",T_MEASURES[C4_Population])*'2.WEIGHTS'!$M$15*100</f>
        <v>25.443262411347519</v>
      </c>
      <c r="O32" s="104">
        <f>AVERAGEIFS(T_MEASURES[C4_Population], T_MEASURES[Rank],"&lt;=20", T_MEASURES[Weight Criterion], "&gt;0")*'2.WEIGHTS'!$M$15*100</f>
        <v>33.125</v>
      </c>
      <c r="P32" s="104">
        <f>AVERAGEIF(T_MEASURES[Rank], "&gt;="&amp;MAX(T_MEASURES[Rank])-19,T_MEASURES[C4_Population])*'2.WEIGHTS'!$M$15*100</f>
        <v>18.125</v>
      </c>
      <c r="Q32" s="36"/>
      <c r="R32" s="43"/>
      <c r="S32" s="48"/>
    </row>
    <row r="33" spans="1:19" ht="28.2" customHeight="1" x14ac:dyDescent="0.3">
      <c r="A33" s="43"/>
      <c r="B33" s="48"/>
      <c r="C33" s="43"/>
      <c r="D33" s="17">
        <f>IF( ISERROR(VLOOKUP(ROW(C33)-9,T_MEASURES[],2,FALSE)), "", ROW(C33)-9 )</f>
        <v>24</v>
      </c>
      <c r="E33" s="17" t="str">
        <f>IF(D33="","",VLOOKUP(D33,T_MEASURES[],2,FALSE))</f>
        <v>Med 89</v>
      </c>
      <c r="F33" s="12" t="str">
        <f>IF(D33="","",VLOOKUP(D33,T_MEASURES[],3,FALSE))</f>
        <v>Ready to go measures</v>
      </c>
      <c r="G33" s="12" t="str">
        <f>IF(D33="","",VLOOKUP(D33,T_MEASURES[],6,FALSE))</f>
        <v>Reorganization of extracurricular activities in schools, moving students to covered or shaded spaces</v>
      </c>
      <c r="H33" s="31">
        <f>IF(D33="","",VLOOKUP(D33,T_MEASURES[],21,FALSE))</f>
        <v>1</v>
      </c>
      <c r="I33" s="31" t="str">
        <f>IF(D33="","",VLOOKUP(D33,T_MEASURES[],11,FALSE))</f>
        <v>€</v>
      </c>
      <c r="J33" s="95" t="str">
        <f>IF(D33="","",MID(VLOOKUP(D33,T_MEASURES[],20,FALSE),FIND(". ",VLOOKUP(D33,T_MEASURES[],20,FALSE))+2,FIND(" (",VLOOKUP(D33,T_MEASURES[],20,FALSE))-FIND(".",VLOOKUP(D33,T_MEASURES[],20,FALSE))-2))</f>
        <v>High</v>
      </c>
      <c r="K33" s="102">
        <f>IF(D33="","",VLOOKUP(D33,T_MEASURES[],66,FALSE))</f>
        <v>200.00000089</v>
      </c>
      <c r="L33" s="43"/>
      <c r="M33" s="12" t="s">
        <v>75</v>
      </c>
      <c r="N33" s="104">
        <f>AVERAGEIF(T_MEASURES[Rank],"&gt;0",T_MEASURES[C5_Cost])*'2.WEIGHTS'!$M$16*100</f>
        <v>31.826241134751772</v>
      </c>
      <c r="O33" s="104">
        <f>AVERAGEIFS(T_MEASURES[C5_Cost], T_MEASURES[Rank],"&lt;=20", T_MEASURES[Weight Criterion], "&gt;0")*'2.WEIGHTS'!$M$16*100</f>
        <v>37.5</v>
      </c>
      <c r="P33" s="104">
        <f>AVERAGEIF(T_MEASURES[Rank], "&gt;="&amp;MAX(T_MEASURES[Rank])-19,T_MEASURES[C5_Cost])*'2.WEIGHTS'!$M$16*100</f>
        <v>21.25</v>
      </c>
      <c r="Q33" s="36"/>
      <c r="R33" s="43"/>
      <c r="S33" s="48"/>
    </row>
    <row r="34" spans="1:19" ht="28.2" customHeight="1" x14ac:dyDescent="0.3">
      <c r="A34" s="43"/>
      <c r="B34" s="48"/>
      <c r="C34" s="43"/>
      <c r="D34" s="11">
        <f>IF( ISERROR(VLOOKUP(ROW(C34)-9,T_MEASURES[],2,FALSE)), "", ROW(C34)-9 )</f>
        <v>25</v>
      </c>
      <c r="E34" s="11" t="str">
        <f>IF(D34="","",VLOOKUP(D34,T_MEASURES[],2,FALSE))</f>
        <v>Med 88</v>
      </c>
      <c r="F34" s="16" t="str">
        <f>IF(D34="","",VLOOKUP(D34,T_MEASURES[],3,FALSE))</f>
        <v>Ready to go measures</v>
      </c>
      <c r="G34" s="16" t="str">
        <f>IF(D34="","",VLOOKUP(D34,T_MEASURES[],6,FALSE))</f>
        <v>Reorganization of activities within school hours according to weather circumstances, avoiding the tasks of greater physical activity in the hottest hours of the day and ensuring that they are carried out in shaded spaces</v>
      </c>
      <c r="H34" s="30">
        <f>IF(D34="","",VLOOKUP(D34,T_MEASURES[],21,FALSE))</f>
        <v>1</v>
      </c>
      <c r="I34" s="30" t="str">
        <f>IF(D34="","",VLOOKUP(D34,T_MEASURES[],11,FALSE))</f>
        <v>€</v>
      </c>
      <c r="J34" s="94" t="str">
        <f>IF(D34="","",MID(VLOOKUP(D34,T_MEASURES[],20,FALSE),FIND(". ",VLOOKUP(D34,T_MEASURES[],20,FALSE))+2,FIND(" (",VLOOKUP(D34,T_MEASURES[],20,FALSE))-FIND(".",VLOOKUP(D34,T_MEASURES[],20,FALSE))-2))</f>
        <v>High</v>
      </c>
      <c r="K34" s="101">
        <f>IF(D34="","",VLOOKUP(D34,T_MEASURES[],66,FALSE))</f>
        <v>200.00000087999999</v>
      </c>
      <c r="L34" s="43"/>
      <c r="M34" s="12" t="s">
        <v>76</v>
      </c>
      <c r="N34" s="104">
        <f>AVERAGEIF(T_MEASURES[Rank],"&gt;0",T_MEASURES[C6_Funding])*'2.WEIGHTS'!$M$17*100</f>
        <v>22.606382978723406</v>
      </c>
      <c r="O34" s="104">
        <f>AVERAGEIFS(T_MEASURES[C6_Funding], T_MEASURES[Rank],"&lt;=20", T_MEASURES[Weight Criterion], "&gt;0")*'2.WEIGHTS'!$M$17*100</f>
        <v>25</v>
      </c>
      <c r="P34" s="104">
        <f>AVERAGEIF(T_MEASURES[Rank], "&gt;="&amp;MAX(T_MEASURES[Rank])-19,T_MEASURES[C6_Funding])*'2.WEIGHTS'!M17*100</f>
        <v>15</v>
      </c>
      <c r="Q34" s="36"/>
      <c r="R34" s="43"/>
      <c r="S34" s="48"/>
    </row>
    <row r="35" spans="1:19" ht="28.2" customHeight="1" x14ac:dyDescent="0.3">
      <c r="A35" s="43"/>
      <c r="B35" s="48"/>
      <c r="C35" s="43"/>
      <c r="D35" s="17">
        <f>IF( ISERROR(VLOOKUP(ROW(C35)-9,T_MEASURES[],2,FALSE)), "", ROW(C35)-9 )</f>
        <v>26</v>
      </c>
      <c r="E35" s="17" t="str">
        <f>IF(D35="","",VLOOKUP(D35,T_MEASURES[],2,FALSE))</f>
        <v>Med 87</v>
      </c>
      <c r="F35" s="12" t="str">
        <f>IF(D35="","",VLOOKUP(D35,T_MEASURES[],3,FALSE))</f>
        <v>Ready to go measures</v>
      </c>
      <c r="G35" s="12" t="str">
        <f>IF(D35="","",VLOOKUP(D35,T_MEASURES[],6,FALSE))</f>
        <v>Avoid school activities in the hottest spaces, moving students to other spaces or facilities of the educational center that are more open, fresh and shaded</v>
      </c>
      <c r="H35" s="31">
        <f>IF(D35="","",VLOOKUP(D35,T_MEASURES[],21,FALSE))</f>
        <v>1</v>
      </c>
      <c r="I35" s="31" t="str">
        <f>IF(D35="","",VLOOKUP(D35,T_MEASURES[],11,FALSE))</f>
        <v>€</v>
      </c>
      <c r="J35" s="95" t="str">
        <f>IF(D35="","",MID(VLOOKUP(D35,T_MEASURES[],20,FALSE),FIND(". ",VLOOKUP(D35,T_MEASURES[],20,FALSE))+2,FIND(" (",VLOOKUP(D35,T_MEASURES[],20,FALSE))-FIND(".",VLOOKUP(D35,T_MEASURES[],20,FALSE))-2))</f>
        <v>High</v>
      </c>
      <c r="K35" s="102">
        <f>IF(D35="","",VLOOKUP(D35,T_MEASURES[],66,FALSE))</f>
        <v>200.00000086999998</v>
      </c>
      <c r="L35" s="43"/>
      <c r="M35" s="12" t="s">
        <v>77</v>
      </c>
      <c r="N35" s="104">
        <f>AVERAGEIF(T_MEASURES[Rank],"&gt;0",T_MEASURES[C7_Feasibility])*'2.WEIGHTS'!$M$18*100</f>
        <v>32.535460992907801</v>
      </c>
      <c r="O35" s="104">
        <f>AVERAGEIFS(T_MEASURES[C7_Feasibility], T_MEASURES[Rank],"&lt;=20", T_MEASURES[Weight Criterion], "&gt;0")*'2.WEIGHTS'!$M$18*100</f>
        <v>37.5</v>
      </c>
      <c r="P35" s="104">
        <f>AVERAGEIF(T_MEASURES[Rank], "&gt;="&amp;MAX(T_MEASURES[Rank])-19,T_MEASURES[C7_Feasibility])*'2.WEIGHTS'!$M$18*100</f>
        <v>21.875</v>
      </c>
      <c r="Q35" s="36"/>
      <c r="R35" s="43"/>
      <c r="S35" s="48"/>
    </row>
    <row r="36" spans="1:19" ht="28.2" customHeight="1" x14ac:dyDescent="0.3">
      <c r="A36" s="43"/>
      <c r="B36" s="48"/>
      <c r="C36" s="43"/>
      <c r="D36" s="11">
        <f>IF( ISERROR(VLOOKUP(ROW(C36)-9,T_MEASURES[],2,FALSE)), "", ROW(C36)-9 )</f>
        <v>27</v>
      </c>
      <c r="E36" s="11" t="str">
        <f>IF(D36="","",VLOOKUP(D36,T_MEASURES[],2,FALSE))</f>
        <v>Med 84</v>
      </c>
      <c r="F36" s="16" t="str">
        <f>IF(D36="","",VLOOKUP(D36,T_MEASURES[],3,FALSE))</f>
        <v>Ready to go measures</v>
      </c>
      <c r="G36" s="16" t="str">
        <f>IF(D36="","",VLOOKUP(D36,T_MEASURES[],6,FALSE))</f>
        <v xml:space="preserve">Designation of an observer of workers while working in a high-temperature environment and in direct sunlight to look for any symptoms or signs of health problems associated with high temperatures </v>
      </c>
      <c r="H36" s="30">
        <f>IF(D36="","",VLOOKUP(D36,T_MEASURES[],21,FALSE))</f>
        <v>1</v>
      </c>
      <c r="I36" s="30" t="str">
        <f>IF(D36="","",VLOOKUP(D36,T_MEASURES[],11,FALSE))</f>
        <v>€</v>
      </c>
      <c r="J36" s="94" t="str">
        <f>IF(D36="","",MID(VLOOKUP(D36,T_MEASURES[],20,FALSE),FIND(". ",VLOOKUP(D36,T_MEASURES[],20,FALSE))+2,FIND(" (",VLOOKUP(D36,T_MEASURES[],20,FALSE))-FIND(".",VLOOKUP(D36,T_MEASURES[],20,FALSE))-2))</f>
        <v>High</v>
      </c>
      <c r="K36" s="101">
        <f>IF(D36="","",VLOOKUP(D36,T_MEASURES[],66,FALSE))</f>
        <v>200.00000083999998</v>
      </c>
      <c r="L36" s="43"/>
      <c r="M36" s="12" t="s">
        <v>78</v>
      </c>
      <c r="N36" s="104">
        <f>AVERAGEIF(T_MEASURES[Rank],"&gt;0",T_MEASURES[C8_Time])*'2.WEIGHTS'!$M$19*100</f>
        <v>33.156028368794324</v>
      </c>
      <c r="O36" s="104">
        <f>AVERAGEIFS(T_MEASURES[C8_Time], T_MEASURES[Rank],"&lt;=20", T_MEASURES[Weight Criterion], "&gt;0")*'2.WEIGHTS'!$M$19*100</f>
        <v>37.5</v>
      </c>
      <c r="P36" s="104">
        <f>AVERAGEIF(T_MEASURES[Rank], "&gt;="&amp;MAX(T_MEASURES[Rank])-19,T_MEASURES[C8_Time])*'2.WEIGHTS'!$M$18*100</f>
        <v>23.125</v>
      </c>
      <c r="Q36" s="36"/>
      <c r="R36" s="43"/>
      <c r="S36" s="48"/>
    </row>
    <row r="37" spans="1:19" ht="28.2" customHeight="1" x14ac:dyDescent="0.3">
      <c r="A37" s="43"/>
      <c r="B37" s="48"/>
      <c r="C37" s="43"/>
      <c r="D37" s="17">
        <f>IF( ISERROR(VLOOKUP(ROW(C37)-9,T_MEASURES[],2,FALSE)), "", ROW(C37)-9 )</f>
        <v>28</v>
      </c>
      <c r="E37" s="17" t="str">
        <f>IF(D37="","",VLOOKUP(D37,T_MEASURES[],2,FALSE))</f>
        <v>Med 83</v>
      </c>
      <c r="F37" s="12" t="str">
        <f>IF(D37="","",VLOOKUP(D37,T_MEASURES[],3,FALSE))</f>
        <v>Ready to go measures</v>
      </c>
      <c r="G37" s="12" t="str">
        <f>IF(D37="","",VLOOKUP(D37,T_MEASURES[],6,FALSE))</f>
        <v>Verification actions on equipment and outdoor working conditions: municipal workers have the necessary sun protection equipment (head coverings, eye safety glasses and light-colored clothing)</v>
      </c>
      <c r="H37" s="31">
        <f>IF(D37="","",VLOOKUP(D37,T_MEASURES[],21,FALSE))</f>
        <v>1</v>
      </c>
      <c r="I37" s="31" t="str">
        <f>IF(D37="","",VLOOKUP(D37,T_MEASURES[],11,FALSE))</f>
        <v>€</v>
      </c>
      <c r="J37" s="95" t="str">
        <f>IF(D37="","",MID(VLOOKUP(D37,T_MEASURES[],20,FALSE),FIND(". ",VLOOKUP(D37,T_MEASURES[],20,FALSE))+2,FIND(" (",VLOOKUP(D37,T_MEASURES[],20,FALSE))-FIND(".",VLOOKUP(D37,T_MEASURES[],20,FALSE))-2))</f>
        <v>High</v>
      </c>
      <c r="K37" s="102">
        <f>IF(D37="","",VLOOKUP(D37,T_MEASURES[],66,FALSE))</f>
        <v>200.00000082999998</v>
      </c>
      <c r="L37" s="43"/>
      <c r="M37" s="97" t="s">
        <v>79</v>
      </c>
      <c r="N37" s="105">
        <f>SUM(N29:N36)</f>
        <v>179.07801418439718</v>
      </c>
      <c r="O37" s="105">
        <f>SUM(O29:O36)</f>
        <v>205.625</v>
      </c>
      <c r="P37" s="105">
        <f>SUM(P29:P36)</f>
        <v>131.25</v>
      </c>
      <c r="Q37" s="98"/>
      <c r="R37" s="43"/>
      <c r="S37" s="48"/>
    </row>
    <row r="38" spans="1:19" ht="27.6" customHeight="1" x14ac:dyDescent="0.3">
      <c r="A38" s="43"/>
      <c r="B38" s="48"/>
      <c r="C38" s="43"/>
      <c r="D38" s="11">
        <f>IF( ISERROR(VLOOKUP(ROW(C38)-9,T_MEASURES[],2,FALSE)), "", ROW(C38)-9 )</f>
        <v>29</v>
      </c>
      <c r="E38" s="11" t="str">
        <f>IF(D38="","",VLOOKUP(D38,T_MEASURES[],2,FALSE))</f>
        <v>Med 81</v>
      </c>
      <c r="F38" s="16" t="str">
        <f>IF(D38="","",VLOOKUP(D38,T_MEASURES[],3,FALSE))</f>
        <v>Ready to go measures</v>
      </c>
      <c r="G38" s="16" t="str">
        <f>IF(D38="","",VLOOKUP(D38,T_MEASURES[],6,FALSE))</f>
        <v xml:space="preserve">Communication and collaboration with schools for the flexibility of the students' schedule, in order to adapt to the circumstances of exceptional high temperatures </v>
      </c>
      <c r="H38" s="30">
        <f>IF(D38="","",VLOOKUP(D38,T_MEASURES[],21,FALSE))</f>
        <v>1</v>
      </c>
      <c r="I38" s="30" t="str">
        <f>IF(D38="","",VLOOKUP(D38,T_MEASURES[],11,FALSE))</f>
        <v>€</v>
      </c>
      <c r="J38" s="94" t="str">
        <f>IF(D38="","",MID(VLOOKUP(D38,T_MEASURES[],20,FALSE),FIND(". ",VLOOKUP(D38,T_MEASURES[],20,FALSE))+2,FIND(" (",VLOOKUP(D38,T_MEASURES[],20,FALSE))-FIND(".",VLOOKUP(D38,T_MEASURES[],20,FALSE))-2))</f>
        <v>High</v>
      </c>
      <c r="K38" s="101">
        <f>IF(D38="","",VLOOKUP(D38,T_MEASURES[],66,FALSE))</f>
        <v>200.00000080999999</v>
      </c>
      <c r="L38" s="43"/>
      <c r="M38" s="43"/>
      <c r="N38" s="43"/>
      <c r="O38" s="43"/>
      <c r="P38" s="43"/>
      <c r="Q38" s="43"/>
      <c r="R38" s="43"/>
      <c r="S38" s="48"/>
    </row>
    <row r="39" spans="1:19" ht="27.6" customHeight="1" x14ac:dyDescent="0.3">
      <c r="A39" s="43"/>
      <c r="B39" s="48"/>
      <c r="C39" s="43"/>
      <c r="D39" s="17">
        <f>IF( ISERROR(VLOOKUP(ROW(C39)-9,T_MEASURES[],2,FALSE)), "", ROW(C39)-9 )</f>
        <v>30</v>
      </c>
      <c r="E39" s="17" t="str">
        <f>IF(D39="","",VLOOKUP(D39,T_MEASURES[],2,FALSE))</f>
        <v>Med 78</v>
      </c>
      <c r="F39" s="12" t="str">
        <f>IF(D39="","",VLOOKUP(D39,T_MEASURES[],3,FALSE))</f>
        <v>Ready to go measures</v>
      </c>
      <c r="G39" s="12" t="str">
        <f>IF(D39="","",VLOOKUP(D39,T_MEASURES[],6,FALSE))</f>
        <v>Promotion of reciprocal surveillance between workers exposed during working days outside in times of extreme temperatures</v>
      </c>
      <c r="H39" s="31">
        <f>IF(D39="","",VLOOKUP(D39,T_MEASURES[],21,FALSE))</f>
        <v>1</v>
      </c>
      <c r="I39" s="31" t="str">
        <f>IF(D39="","",VLOOKUP(D39,T_MEASURES[],11,FALSE))</f>
        <v>€</v>
      </c>
      <c r="J39" s="95" t="str">
        <f>IF(D39="","",MID(VLOOKUP(D39,T_MEASURES[],20,FALSE),FIND(". ",VLOOKUP(D39,T_MEASURES[],20,FALSE))+2,FIND(" (",VLOOKUP(D39,T_MEASURES[],20,FALSE))-FIND(".",VLOOKUP(D39,T_MEASURES[],20,FALSE))-2))</f>
        <v>High</v>
      </c>
      <c r="K39" s="102">
        <f>IF(D39="","",VLOOKUP(D39,T_MEASURES[],66,FALSE))</f>
        <v>200.00000078000002</v>
      </c>
      <c r="L39" s="43"/>
      <c r="M39" s="43"/>
      <c r="N39" s="43"/>
      <c r="O39" s="43"/>
      <c r="P39" s="43"/>
      <c r="Q39" s="43"/>
      <c r="R39" s="43"/>
      <c r="S39" s="48"/>
    </row>
    <row r="40" spans="1:19" ht="27.6" customHeight="1" x14ac:dyDescent="0.3">
      <c r="A40" s="43"/>
      <c r="B40" s="48"/>
      <c r="C40" s="43"/>
      <c r="D40" s="11">
        <f>IF( ISERROR(VLOOKUP(ROW(C40)-9,T_MEASURES[],2,FALSE)), "", ROW(C40)-9 )</f>
        <v>31</v>
      </c>
      <c r="E40" s="11" t="str">
        <f>IF(D40="","",VLOOKUP(D40,T_MEASURES[],2,FALSE))</f>
        <v>Med 74</v>
      </c>
      <c r="F40" s="16" t="str">
        <f>IF(D40="","",VLOOKUP(D40,T_MEASURES[],3,FALSE))</f>
        <v>Ready to go measures</v>
      </c>
      <c r="G40" s="16" t="str">
        <f>IF(D40="","",VLOOKUP(D40,T_MEASURES[],6,FALSE))</f>
        <v xml:space="preserve">Distribution of workload in low-heat hours (early morning, late afternoon) for shift teams during extreme alerts </v>
      </c>
      <c r="H40" s="30">
        <f>IF(D40="","",VLOOKUP(D40,T_MEASURES[],21,FALSE))</f>
        <v>1</v>
      </c>
      <c r="I40" s="30" t="str">
        <f>IF(D40="","",VLOOKUP(D40,T_MEASURES[],11,FALSE))</f>
        <v>€</v>
      </c>
      <c r="J40" s="94" t="str">
        <f>IF(D40="","",MID(VLOOKUP(D40,T_MEASURES[],20,FALSE),FIND(". ",VLOOKUP(D40,T_MEASURES[],20,FALSE))+2,FIND(" (",VLOOKUP(D40,T_MEASURES[],20,FALSE))-FIND(".",VLOOKUP(D40,T_MEASURES[],20,FALSE))-2))</f>
        <v>High</v>
      </c>
      <c r="K40" s="101">
        <f>IF(D40="","",VLOOKUP(D40,T_MEASURES[],66,FALSE))</f>
        <v>200.00000074000002</v>
      </c>
      <c r="L40" s="43"/>
      <c r="M40" s="43"/>
      <c r="N40" s="43"/>
      <c r="O40" s="43"/>
      <c r="P40" s="43"/>
      <c r="Q40" s="43"/>
      <c r="R40" s="43"/>
      <c r="S40" s="48"/>
    </row>
    <row r="41" spans="1:19" ht="27.6" customHeight="1" x14ac:dyDescent="0.3">
      <c r="A41" s="43"/>
      <c r="B41" s="48"/>
      <c r="C41" s="43"/>
      <c r="D41" s="17">
        <f>IF( ISERROR(VLOOKUP(ROW(C41)-9,T_MEASURES[],2,FALSE)), "", ROW(C41)-9 )</f>
        <v>32</v>
      </c>
      <c r="E41" s="17" t="str">
        <f>IF(D41="","",VLOOKUP(D41,T_MEASURES[],2,FALSE))</f>
        <v>Med 73</v>
      </c>
      <c r="F41" s="12" t="str">
        <f>IF(D41="","",VLOOKUP(D41,T_MEASURES[],3,FALSE))</f>
        <v>Ready to go measures</v>
      </c>
      <c r="G41" s="12" t="str">
        <f>IF(D41="","",VLOOKUP(D41,T_MEASURES[],6,FALSE))</f>
        <v xml:space="preserve">Minimization of the time spent outdoors by people responsible for outdoor work during temperature alert situations </v>
      </c>
      <c r="H41" s="31">
        <f>IF(D41="","",VLOOKUP(D41,T_MEASURES[],21,FALSE))</f>
        <v>1</v>
      </c>
      <c r="I41" s="31" t="str">
        <f>IF(D41="","",VLOOKUP(D41,T_MEASURES[],11,FALSE))</f>
        <v>€</v>
      </c>
      <c r="J41" s="95" t="str">
        <f>IF(D41="","",MID(VLOOKUP(D41,T_MEASURES[],20,FALSE),FIND(". ",VLOOKUP(D41,T_MEASURES[],20,FALSE))+2,FIND(" (",VLOOKUP(D41,T_MEASURES[],20,FALSE))-FIND(".",VLOOKUP(D41,T_MEASURES[],20,FALSE))-2))</f>
        <v>High</v>
      </c>
      <c r="K41" s="102">
        <f>IF(D41="","",VLOOKUP(D41,T_MEASURES[],66,FALSE))</f>
        <v>200.00000073000001</v>
      </c>
      <c r="L41" s="43"/>
      <c r="M41" s="43"/>
      <c r="N41" s="43"/>
      <c r="O41" s="43"/>
      <c r="P41" s="43"/>
      <c r="Q41" s="43"/>
      <c r="R41" s="43"/>
      <c r="S41" s="48"/>
    </row>
    <row r="42" spans="1:19" ht="27.6" customHeight="1" x14ac:dyDescent="0.3">
      <c r="A42" s="43"/>
      <c r="B42" s="48"/>
      <c r="C42" s="43"/>
      <c r="D42" s="11">
        <f>IF( ISERROR(VLOOKUP(ROW(C42)-9,T_MEASURES[],2,FALSE)), "", ROW(C42)-9 )</f>
        <v>33</v>
      </c>
      <c r="E42" s="11" t="str">
        <f>IF(D42="","",VLOOKUP(D42,T_MEASURES[],2,FALSE))</f>
        <v>Med 72</v>
      </c>
      <c r="F42" s="16" t="str">
        <f>IF(D42="","",VLOOKUP(D42,T_MEASURES[],3,FALSE))</f>
        <v>Ready to go measures</v>
      </c>
      <c r="G42" s="16" t="str">
        <f>IF(D42="","",VLOOKUP(D42,T_MEASURES[],6,FALSE))</f>
        <v>Prohibition of performing certain physical tasks at the workplace during  hours of the day when adverse weather events occur and the protection of the working person cannot be guaranteed otherwise.</v>
      </c>
      <c r="H42" s="30">
        <f>IF(D42="","",VLOOKUP(D42,T_MEASURES[],21,FALSE))</f>
        <v>1</v>
      </c>
      <c r="I42" s="30" t="str">
        <f>IF(D42="","",VLOOKUP(D42,T_MEASURES[],11,FALSE))</f>
        <v>€</v>
      </c>
      <c r="J42" s="94" t="str">
        <f>IF(D42="","",MID(VLOOKUP(D42,T_MEASURES[],20,FALSE),FIND(". ",VLOOKUP(D42,T_MEASURES[],20,FALSE))+2,FIND(" (",VLOOKUP(D42,T_MEASURES[],20,FALSE))-FIND(".",VLOOKUP(D42,T_MEASURES[],20,FALSE))-2))</f>
        <v>High</v>
      </c>
      <c r="K42" s="101">
        <f>IF(D42="","",VLOOKUP(D42,T_MEASURES[],66,FALSE))</f>
        <v>200.00000072</v>
      </c>
      <c r="L42" s="43"/>
      <c r="M42" s="43"/>
      <c r="N42" s="43"/>
      <c r="O42" s="43"/>
      <c r="P42" s="43"/>
      <c r="Q42" s="43"/>
      <c r="R42" s="43"/>
      <c r="S42" s="48"/>
    </row>
    <row r="43" spans="1:19" ht="27.6" customHeight="1" x14ac:dyDescent="0.3">
      <c r="A43" s="43"/>
      <c r="B43" s="48"/>
      <c r="C43" s="43"/>
      <c r="D43" s="17">
        <f>IF( ISERROR(VLOOKUP(ROW(C43)-9,T_MEASURES[],2,FALSE)), "", ROW(C43)-9 )</f>
        <v>34</v>
      </c>
      <c r="E43" s="17" t="str">
        <f>IF(D43="","",VLOOKUP(D43,T_MEASURES[],2,FALSE))</f>
        <v>Med 70</v>
      </c>
      <c r="F43" s="12" t="str">
        <f>IF(D43="","",VLOOKUP(D43,T_MEASURES[],3,FALSE))</f>
        <v>Ready to go measures</v>
      </c>
      <c r="G43" s="12" t="str">
        <f>IF(D43="","",VLOOKUP(D43,T_MEASURES[],6,FALSE))</f>
        <v>Free telephone assistance to provide information on heat alerts (risk level, recommendations, available resources...) to interested citizens.</v>
      </c>
      <c r="H43" s="31">
        <f>IF(D43="","",VLOOKUP(D43,T_MEASURES[],21,FALSE))</f>
        <v>1</v>
      </c>
      <c r="I43" s="31" t="str">
        <f>IF(D43="","",VLOOKUP(D43,T_MEASURES[],11,FALSE))</f>
        <v>€</v>
      </c>
      <c r="J43" s="95" t="str">
        <f>IF(D43="","",MID(VLOOKUP(D43,T_MEASURES[],20,FALSE),FIND(". ",VLOOKUP(D43,T_MEASURES[],20,FALSE))+2,FIND(" (",VLOOKUP(D43,T_MEASURES[],20,FALSE))-FIND(".",VLOOKUP(D43,T_MEASURES[],20,FALSE))-2))</f>
        <v>High</v>
      </c>
      <c r="K43" s="102">
        <f>IF(D43="","",VLOOKUP(D43,T_MEASURES[],66,FALSE))</f>
        <v>200.00000070000002</v>
      </c>
      <c r="L43" s="43"/>
      <c r="M43" s="43"/>
      <c r="N43" s="43"/>
      <c r="O43" s="43"/>
      <c r="P43" s="43"/>
      <c r="Q43" s="43"/>
      <c r="R43" s="43"/>
      <c r="S43" s="48"/>
    </row>
    <row r="44" spans="1:19" ht="27.6" customHeight="1" x14ac:dyDescent="0.3">
      <c r="A44" s="43"/>
      <c r="B44" s="48"/>
      <c r="C44" s="43"/>
      <c r="D44" s="11">
        <f>IF( ISERROR(VLOOKUP(ROW(C44)-9,T_MEASURES[],2,FALSE)), "", ROW(C44)-9 )</f>
        <v>35</v>
      </c>
      <c r="E44" s="11" t="str">
        <f>IF(D44="","",VLOOKUP(D44,T_MEASURES[],2,FALSE))</f>
        <v>Med 61</v>
      </c>
      <c r="F44" s="16" t="str">
        <f>IF(D44="","",VLOOKUP(D44,T_MEASURES[],3,FALSE))</f>
        <v>Ready to go measures</v>
      </c>
      <c r="G44" s="16" t="str">
        <f>IF(D44="","",VLOOKUP(D44,T_MEASURES[],6,FALSE))</f>
        <v>Installation of additional ventilation in public buildings and socio-health and educational centres to ensure climate comfort during heat waves</v>
      </c>
      <c r="H44" s="30">
        <f>IF(D44="","",VLOOKUP(D44,T_MEASURES[],21,FALSE))</f>
        <v>3</v>
      </c>
      <c r="I44" s="30" t="str">
        <f>IF(D44="","",VLOOKUP(D44,T_MEASURES[],11,FALSE))</f>
        <v>€€</v>
      </c>
      <c r="J44" s="94" t="str">
        <f>IF(D44="","",MID(VLOOKUP(D44,T_MEASURES[],20,FALSE),FIND(". ",VLOOKUP(D44,T_MEASURES[],20,FALSE))+2,FIND(" (",VLOOKUP(D44,T_MEASURES[],20,FALSE))-FIND(".",VLOOKUP(D44,T_MEASURES[],20,FALSE))-2))</f>
        <v>High</v>
      </c>
      <c r="K44" s="101">
        <f>IF(D44="","",VLOOKUP(D44,T_MEASURES[],66,FALSE))</f>
        <v>200.00000061</v>
      </c>
      <c r="L44" s="43"/>
      <c r="M44" s="43"/>
      <c r="N44" s="43"/>
      <c r="O44" s="43"/>
      <c r="P44" s="43"/>
      <c r="Q44" s="43"/>
      <c r="R44" s="43"/>
      <c r="S44" s="48"/>
    </row>
    <row r="45" spans="1:19" ht="27.6" customHeight="1" x14ac:dyDescent="0.3">
      <c r="A45" s="43"/>
      <c r="B45" s="48"/>
      <c r="C45" s="43"/>
      <c r="D45" s="17">
        <f>IF( ISERROR(VLOOKUP(ROW(C45)-9,T_MEASURES[],2,FALSE)), "", ROW(C45)-9 )</f>
        <v>36</v>
      </c>
      <c r="E45" s="17" t="str">
        <f>IF(D45="","",VLOOKUP(D45,T_MEASURES[],2,FALSE))</f>
        <v>Med 60</v>
      </c>
      <c r="F45" s="12" t="str">
        <f>IF(D45="","",VLOOKUP(D45,T_MEASURES[],3,FALSE))</f>
        <v>Ready to go measures</v>
      </c>
      <c r="G45" s="12" t="str">
        <f>IF(D45="","",VLOOKUP(D45,T_MEASURES[],6,FALSE))</f>
        <v>Communication with managers of social health centers for the identification of high-risk people, definition of prevention and hydration guidelines, as well as protocols for monitoring the state of health and care.</v>
      </c>
      <c r="H45" s="31">
        <f>IF(D45="","",VLOOKUP(D45,T_MEASURES[],21,FALSE))</f>
        <v>1</v>
      </c>
      <c r="I45" s="31" t="str">
        <f>IF(D45="","",VLOOKUP(D45,T_MEASURES[],11,FALSE))</f>
        <v>€</v>
      </c>
      <c r="J45" s="95" t="str">
        <f>IF(D45="","",MID(VLOOKUP(D45,T_MEASURES[],20,FALSE),FIND(". ",VLOOKUP(D45,T_MEASURES[],20,FALSE))+2,FIND(" (",VLOOKUP(D45,T_MEASURES[],20,FALSE))-FIND(".",VLOOKUP(D45,T_MEASURES[],20,FALSE))-2))</f>
        <v>High</v>
      </c>
      <c r="K45" s="102">
        <f>IF(D45="","",VLOOKUP(D45,T_MEASURES[],66,FALSE))</f>
        <v>200.00000059999999</v>
      </c>
      <c r="L45" s="43"/>
      <c r="M45" s="43"/>
      <c r="N45" s="43"/>
      <c r="O45" s="43"/>
      <c r="P45" s="43"/>
      <c r="Q45" s="43"/>
      <c r="R45" s="43"/>
      <c r="S45" s="48"/>
    </row>
    <row r="46" spans="1:19" ht="27.6" customHeight="1" x14ac:dyDescent="0.3">
      <c r="A46" s="43"/>
      <c r="B46" s="48"/>
      <c r="C46" s="43"/>
      <c r="D46" s="11">
        <f>IF( ISERROR(VLOOKUP(ROW(C46)-9,T_MEASURES[],2,FALSE)), "", ROW(C46)-9 )</f>
        <v>37</v>
      </c>
      <c r="E46" s="11" t="str">
        <f>IF(D46="","",VLOOKUP(D46,T_MEASURES[],2,FALSE))</f>
        <v>Med 59</v>
      </c>
      <c r="F46" s="16" t="str">
        <f>IF(D46="","",VLOOKUP(D46,T_MEASURES[],3,FALSE))</f>
        <v>Ready to go measures</v>
      </c>
      <c r="G46" s="16" t="str">
        <f>IF(D46="","",VLOOKUP(D46,T_MEASURES[],6,FALSE))</f>
        <v>Approval of regulations for the flexibilization of working schedules of construction works developed or awarded by the consistory during heat waves and extreme heat situations</v>
      </c>
      <c r="H46" s="30">
        <f>IF(D46="","",VLOOKUP(D46,T_MEASURES[],21,FALSE))</f>
        <v>1</v>
      </c>
      <c r="I46" s="30" t="str">
        <f>IF(D46="","",VLOOKUP(D46,T_MEASURES[],11,FALSE))</f>
        <v>€</v>
      </c>
      <c r="J46" s="94" t="str">
        <f>IF(D46="","",MID(VLOOKUP(D46,T_MEASURES[],20,FALSE),FIND(". ",VLOOKUP(D46,T_MEASURES[],20,FALSE))+2,FIND(" (",VLOOKUP(D46,T_MEASURES[],20,FALSE))-FIND(".",VLOOKUP(D46,T_MEASURES[],20,FALSE))-2))</f>
        <v>High</v>
      </c>
      <c r="K46" s="101">
        <f>IF(D46="","",VLOOKUP(D46,T_MEASURES[],66,FALSE))</f>
        <v>200.00000059000001</v>
      </c>
      <c r="L46" s="43"/>
      <c r="M46" s="43"/>
      <c r="N46" s="43"/>
      <c r="O46" s="43"/>
      <c r="P46" s="43"/>
      <c r="Q46" s="43"/>
      <c r="R46" s="43"/>
      <c r="S46" s="48"/>
    </row>
    <row r="47" spans="1:19" ht="27.6" customHeight="1" x14ac:dyDescent="0.3">
      <c r="A47" s="43"/>
      <c r="B47" s="48"/>
      <c r="C47" s="43"/>
      <c r="D47" s="17">
        <f>IF( ISERROR(VLOOKUP(ROW(C47)-9,T_MEASURES[],2,FALSE)), "", ROW(C47)-9 )</f>
        <v>38</v>
      </c>
      <c r="E47" s="17" t="str">
        <f>IF(D47="","",VLOOKUP(D47,T_MEASURES[],2,FALSE))</f>
        <v>Med 58</v>
      </c>
      <c r="F47" s="12" t="str">
        <f>IF(D47="","",VLOOKUP(D47,T_MEASURES[],3,FALSE))</f>
        <v>Ready to go measures</v>
      </c>
      <c r="G47" s="12" t="str">
        <f>IF(D47="","",VLOOKUP(D47,T_MEASURES[],6,FALSE))</f>
        <v>Installation of fogging fountains, fogging devices and additional shade zones in summer, especially at points most vulnerable to heat waves.</v>
      </c>
      <c r="H47" s="31">
        <f>IF(D47="","",VLOOKUP(D47,T_MEASURES[],21,FALSE))</f>
        <v>1</v>
      </c>
      <c r="I47" s="31" t="str">
        <f>IF(D47="","",VLOOKUP(D47,T_MEASURES[],11,FALSE))</f>
        <v>€€</v>
      </c>
      <c r="J47" s="95" t="str">
        <f>IF(D47="","",MID(VLOOKUP(D47,T_MEASURES[],20,FALSE),FIND(". ",VLOOKUP(D47,T_MEASURES[],20,FALSE))+2,FIND(" (",VLOOKUP(D47,T_MEASURES[],20,FALSE))-FIND(".",VLOOKUP(D47,T_MEASURES[],20,FALSE))-2))</f>
        <v>High</v>
      </c>
      <c r="K47" s="102">
        <f>IF(D47="","",VLOOKUP(D47,T_MEASURES[],66,FALSE))</f>
        <v>200.00000058000001</v>
      </c>
      <c r="L47" s="43"/>
      <c r="M47" s="43"/>
      <c r="N47" s="43"/>
      <c r="O47" s="43"/>
      <c r="P47" s="43"/>
      <c r="Q47" s="43"/>
      <c r="R47" s="43"/>
      <c r="S47" s="48"/>
    </row>
    <row r="48" spans="1:19" ht="27.6" customHeight="1" x14ac:dyDescent="0.3">
      <c r="A48" s="43"/>
      <c r="B48" s="48"/>
      <c r="C48" s="43"/>
      <c r="D48" s="11">
        <f>IF( ISERROR(VLOOKUP(ROW(C48)-9,T_MEASURES[],2,FALSE)), "", ROW(C48)-9 )</f>
        <v>39</v>
      </c>
      <c r="E48" s="11" t="str">
        <f>IF(D48="","",VLOOKUP(D48,T_MEASURES[],2,FALSE))</f>
        <v>Med 49</v>
      </c>
      <c r="F48" s="16" t="str">
        <f>IF(D48="","",VLOOKUP(D48,T_MEASURES[],3,FALSE))</f>
        <v>Prevention</v>
      </c>
      <c r="G48" s="16" t="str">
        <f>IF(D48="","",VLOOKUP(D48,T_MEASURES[],6,FALSE))</f>
        <v>Adequation of climate shelters in priority places (areas with greater heat island effect, areas of concentration of vulnerable population...)</v>
      </c>
      <c r="H48" s="30">
        <f>IF(D48="","",VLOOKUP(D48,T_MEASURES[],21,FALSE))</f>
        <v>3</v>
      </c>
      <c r="I48" s="30" t="str">
        <f>IF(D48="","",VLOOKUP(D48,T_MEASURES[],11,FALSE))</f>
        <v>€€</v>
      </c>
      <c r="J48" s="94" t="str">
        <f>IF(D48="","",MID(VLOOKUP(D48,T_MEASURES[],20,FALSE),FIND(". ",VLOOKUP(D48,T_MEASURES[],20,FALSE))+2,FIND(" (",VLOOKUP(D48,T_MEASURES[],20,FALSE))-FIND(".",VLOOKUP(D48,T_MEASURES[],20,FALSE))-2))</f>
        <v>Low</v>
      </c>
      <c r="K48" s="101">
        <f>IF(D48="","",VLOOKUP(D48,T_MEASURES[],66,FALSE))</f>
        <v>200.00000048999999</v>
      </c>
      <c r="L48" s="43"/>
      <c r="M48" s="43"/>
      <c r="N48" s="43"/>
      <c r="O48" s="43"/>
      <c r="P48" s="43"/>
      <c r="Q48" s="43"/>
      <c r="R48" s="43"/>
      <c r="S48" s="48"/>
    </row>
    <row r="49" spans="1:19" ht="27.6" customHeight="1" x14ac:dyDescent="0.3">
      <c r="A49" s="43"/>
      <c r="B49" s="48"/>
      <c r="C49" s="43"/>
      <c r="D49" s="17">
        <f>IF( ISERROR(VLOOKUP(ROW(C49)-9,T_MEASURES[],2,FALSE)), "", ROW(C49)-9 )</f>
        <v>40</v>
      </c>
      <c r="E49" s="17" t="str">
        <f>IF(D49="","",VLOOKUP(D49,T_MEASURES[],2,FALSE))</f>
        <v>Med 48</v>
      </c>
      <c r="F49" s="12" t="str">
        <f>IF(D49="","",VLOOKUP(D49,T_MEASURES[],3,FALSE))</f>
        <v>Prevention</v>
      </c>
      <c r="G49" s="12" t="str">
        <f>IF(D49="","",VLOOKUP(D49,T_MEASURES[],6,FALSE))</f>
        <v>Update of the censuses of social groups most vulnerable to high extreme temperatures regarding to the activation of risk alerts</v>
      </c>
      <c r="H49" s="31">
        <f>IF(D49="","",VLOOKUP(D49,T_MEASURES[],21,FALSE))</f>
        <v>1</v>
      </c>
      <c r="I49" s="31" t="str">
        <f>IF(D49="","",VLOOKUP(D49,T_MEASURES[],11,FALSE))</f>
        <v>€</v>
      </c>
      <c r="J49" s="95" t="str">
        <f>IF(D49="","",MID(VLOOKUP(D49,T_MEASURES[],20,FALSE),FIND(". ",VLOOKUP(D49,T_MEASURES[],20,FALSE))+2,FIND(" (",VLOOKUP(D49,T_MEASURES[],20,FALSE))-FIND(".",VLOOKUP(D49,T_MEASURES[],20,FALSE))-2))</f>
        <v>Low</v>
      </c>
      <c r="K49" s="102">
        <f>IF(D49="","",VLOOKUP(D49,T_MEASURES[],66,FALSE))</f>
        <v>200.00000047999998</v>
      </c>
      <c r="L49" s="43"/>
      <c r="M49" s="43"/>
      <c r="N49" s="43"/>
      <c r="O49" s="43"/>
      <c r="P49" s="43"/>
      <c r="Q49" s="43"/>
      <c r="R49" s="43"/>
      <c r="S49" s="48"/>
    </row>
    <row r="50" spans="1:19" ht="27.6" customHeight="1" x14ac:dyDescent="0.3">
      <c r="A50" s="43"/>
      <c r="B50" s="48"/>
      <c r="C50" s="43"/>
      <c r="D50" s="11">
        <f>IF( ISERROR(VLOOKUP(ROW(C50)-9,T_MEASURES[],2,FALSE)), "", ROW(C50)-9 )</f>
        <v>41</v>
      </c>
      <c r="E50" s="11" t="str">
        <f>IF(D50="","",VLOOKUP(D50,T_MEASURES[],2,FALSE))</f>
        <v>Med 29</v>
      </c>
      <c r="F50" s="16" t="str">
        <f>IF(D50="","",VLOOKUP(D50,T_MEASURES[],3,FALSE))</f>
        <v>Prevention</v>
      </c>
      <c r="G50" s="16" t="str">
        <f>IF(D50="","",VLOOKUP(D50,T_MEASURES[],6,FALSE))</f>
        <v>Identification and designation of people responsible for the activation of action protocols in schools regarding heat waves, as well as planning specific measures in case of activation.</v>
      </c>
      <c r="H50" s="30">
        <f>IF(D50="","",VLOOKUP(D50,T_MEASURES[],21,FALSE))</f>
        <v>1</v>
      </c>
      <c r="I50" s="30" t="str">
        <f>IF(D50="","",VLOOKUP(D50,T_MEASURES[],11,FALSE))</f>
        <v>€</v>
      </c>
      <c r="J50" s="94" t="str">
        <f>IF(D50="","",MID(VLOOKUP(D50,T_MEASURES[],20,FALSE),FIND(". ",VLOOKUP(D50,T_MEASURES[],20,FALSE))+2,FIND(" (",VLOOKUP(D50,T_MEASURES[],20,FALSE))-FIND(".",VLOOKUP(D50,T_MEASURES[],20,FALSE))-2))</f>
        <v>No Risk</v>
      </c>
      <c r="K50" s="101">
        <f>IF(D50="","",VLOOKUP(D50,T_MEASURES[],66,FALSE))</f>
        <v>200.00000028999997</v>
      </c>
      <c r="L50" s="43"/>
      <c r="M50" s="43"/>
      <c r="N50" s="43"/>
      <c r="O50" s="43"/>
      <c r="P50" s="43"/>
      <c r="Q50" s="43"/>
      <c r="R50" s="43"/>
      <c r="S50" s="48"/>
    </row>
    <row r="51" spans="1:19" ht="27.6" customHeight="1" x14ac:dyDescent="0.3">
      <c r="A51" s="43"/>
      <c r="B51" s="48"/>
      <c r="C51" s="43"/>
      <c r="D51" s="17">
        <f>IF( ISERROR(VLOOKUP(ROW(C51)-9,T_MEASURES[],2,FALSE)), "", ROW(C51)-9 )</f>
        <v>42</v>
      </c>
      <c r="E51" s="17" t="str">
        <f>IF(D51="","",VLOOKUP(D51,T_MEASURES[],2,FALSE))</f>
        <v>Med 28</v>
      </c>
      <c r="F51" s="12" t="str">
        <f>IF(D51="","",VLOOKUP(D51,T_MEASURES[],3,FALSE))</f>
        <v>Prevention</v>
      </c>
      <c r="G51" s="12" t="str">
        <f>IF(D51="","",VLOOKUP(D51,T_MEASURES[],6,FALSE))</f>
        <v>Recommendation to schools to have information on the pathologies of students that make them vulnerable to high temperatures.</v>
      </c>
      <c r="H51" s="31">
        <f>IF(D51="","",VLOOKUP(D51,T_MEASURES[],21,FALSE))</f>
        <v>1</v>
      </c>
      <c r="I51" s="31" t="str">
        <f>IF(D51="","",VLOOKUP(D51,T_MEASURES[],11,FALSE))</f>
        <v>€</v>
      </c>
      <c r="J51" s="95" t="str">
        <f>IF(D51="","",MID(VLOOKUP(D51,T_MEASURES[],20,FALSE),FIND(". ",VLOOKUP(D51,T_MEASURES[],20,FALSE))+2,FIND(" (",VLOOKUP(D51,T_MEASURES[],20,FALSE))-FIND(".",VLOOKUP(D51,T_MEASURES[],20,FALSE))-2))</f>
        <v>No Risk</v>
      </c>
      <c r="K51" s="102">
        <f>IF(D51="","",VLOOKUP(D51,T_MEASURES[],66,FALSE))</f>
        <v>200.00000027999997</v>
      </c>
      <c r="L51" s="43"/>
      <c r="M51" s="43"/>
      <c r="N51" s="43"/>
      <c r="O51" s="43"/>
      <c r="P51" s="43"/>
      <c r="Q51" s="43"/>
      <c r="R51" s="43"/>
      <c r="S51" s="48"/>
    </row>
    <row r="52" spans="1:19" ht="27.6" customHeight="1" x14ac:dyDescent="0.3">
      <c r="A52" s="43"/>
      <c r="B52" s="48"/>
      <c r="C52" s="43"/>
      <c r="D52" s="11">
        <f>IF( ISERROR(VLOOKUP(ROW(C52)-9,T_MEASURES[],2,FALSE)), "", ROW(C52)-9 )</f>
        <v>43</v>
      </c>
      <c r="E52" s="11" t="str">
        <f>IF(D52="","",VLOOKUP(D52,T_MEASURES[],2,FALSE))</f>
        <v>Med 139</v>
      </c>
      <c r="F52" s="16" t="str">
        <f>IF(D52="","",VLOOKUP(D52,T_MEASURES[],3,FALSE))</f>
        <v>Communication and awareness raising</v>
      </c>
      <c r="G52" s="16" t="str">
        <f>IF(D52="","",VLOOKUP(D52,T_MEASURES[],6,FALSE))</f>
        <v>Distribution of information materials in tourist offices and tourist establishments</v>
      </c>
      <c r="H52" s="30">
        <f>IF(D52="","",VLOOKUP(D52,T_MEASURES[],21,FALSE))</f>
        <v>1</v>
      </c>
      <c r="I52" s="30" t="str">
        <f>IF(D52="","",VLOOKUP(D52,T_MEASURES[],11,FALSE))</f>
        <v>€</v>
      </c>
      <c r="J52" s="94" t="str">
        <f>IF(D52="","",MID(VLOOKUP(D52,T_MEASURES[],20,FALSE),FIND(". ",VLOOKUP(D52,T_MEASURES[],20,FALSE))+2,FIND(" (",VLOOKUP(D52,T_MEASURES[],20,FALSE))-FIND(".",VLOOKUP(D52,T_MEASURES[],20,FALSE))-2))</f>
        <v>High</v>
      </c>
      <c r="K52" s="101">
        <f>IF(D52="","",VLOOKUP(D52,T_MEASURES[],66,FALSE))</f>
        <v>187.50000138999999</v>
      </c>
      <c r="L52" s="43"/>
      <c r="M52" s="43"/>
      <c r="N52" s="43"/>
      <c r="O52" s="43"/>
      <c r="P52" s="43"/>
      <c r="Q52" s="43"/>
      <c r="R52" s="43"/>
      <c r="S52" s="48"/>
    </row>
    <row r="53" spans="1:19" ht="27.6" customHeight="1" x14ac:dyDescent="0.3">
      <c r="A53" s="43"/>
      <c r="B53" s="48"/>
      <c r="C53" s="43"/>
      <c r="D53" s="17">
        <f>IF( ISERROR(VLOOKUP(ROW(C53)-9,T_MEASURES[],2,FALSE)), "", ROW(C53)-9 )</f>
        <v>44</v>
      </c>
      <c r="E53" s="17" t="str">
        <f>IF(D53="","",VLOOKUP(D53,T_MEASURES[],2,FALSE))</f>
        <v>Med 138</v>
      </c>
      <c r="F53" s="12" t="str">
        <f>IF(D53="","",VLOOKUP(D53,T_MEASURES[],3,FALSE))</f>
        <v>Communication and awareness raising</v>
      </c>
      <c r="G53" s="12" t="str">
        <f>IF(D53="","",VLOOKUP(D53,T_MEASURES[],6,FALSE))</f>
        <v>Dissemination of recommendations on preventive measures for the organization and attendees of cultural events</v>
      </c>
      <c r="H53" s="31">
        <f>IF(D53="","",VLOOKUP(D53,T_MEASURES[],21,FALSE))</f>
        <v>1</v>
      </c>
      <c r="I53" s="31" t="str">
        <f>IF(D53="","",VLOOKUP(D53,T_MEASURES[],11,FALSE))</f>
        <v>€</v>
      </c>
      <c r="J53" s="95" t="str">
        <f>IF(D53="","",MID(VLOOKUP(D53,T_MEASURES[],20,FALSE),FIND(". ",VLOOKUP(D53,T_MEASURES[],20,FALSE))+2,FIND(" (",VLOOKUP(D53,T_MEASURES[],20,FALSE))-FIND(".",VLOOKUP(D53,T_MEASURES[],20,FALSE))-2))</f>
        <v>High</v>
      </c>
      <c r="K53" s="102">
        <f>IF(D53="","",VLOOKUP(D53,T_MEASURES[],66,FALSE))</f>
        <v>187.50000138000001</v>
      </c>
      <c r="L53" s="43"/>
      <c r="M53" s="43"/>
      <c r="N53" s="43"/>
      <c r="O53" s="43"/>
      <c r="P53" s="43"/>
      <c r="Q53" s="43"/>
      <c r="R53" s="43"/>
      <c r="S53" s="48"/>
    </row>
    <row r="54" spans="1:19" ht="27.6" customHeight="1" x14ac:dyDescent="0.3">
      <c r="A54" s="43"/>
      <c r="B54" s="48"/>
      <c r="C54" s="43"/>
      <c r="D54" s="11">
        <f>IF( ISERROR(VLOOKUP(ROW(C54)-9,T_MEASURES[],2,FALSE)), "", ROW(C54)-9 )</f>
        <v>45</v>
      </c>
      <c r="E54" s="11" t="str">
        <f>IF(D54="","",VLOOKUP(D54,T_MEASURES[],2,FALSE))</f>
        <v>Med 137</v>
      </c>
      <c r="F54" s="16" t="str">
        <f>IF(D54="","",VLOOKUP(D54,T_MEASURES[],3,FALSE))</f>
        <v>Communication and awareness raising</v>
      </c>
      <c r="G54" s="16" t="str">
        <f>IF(D54="","",VLOOKUP(D54,T_MEASURES[],6,FALSE))</f>
        <v>Dissemination of recommendations for the organization, participants and attendees of sporting events</v>
      </c>
      <c r="H54" s="30">
        <f>IF(D54="","",VLOOKUP(D54,T_MEASURES[],21,FALSE))</f>
        <v>1</v>
      </c>
      <c r="I54" s="30" t="str">
        <f>IF(D54="","",VLOOKUP(D54,T_MEASURES[],11,FALSE))</f>
        <v>€</v>
      </c>
      <c r="J54" s="94" t="str">
        <f>IF(D54="","",MID(VLOOKUP(D54,T_MEASURES[],20,FALSE),FIND(". ",VLOOKUP(D54,T_MEASURES[],20,FALSE))+2,FIND(" (",VLOOKUP(D54,T_MEASURES[],20,FALSE))-FIND(".",VLOOKUP(D54,T_MEASURES[],20,FALSE))-2))</f>
        <v>High</v>
      </c>
      <c r="K54" s="101">
        <f>IF(D54="","",VLOOKUP(D54,T_MEASURES[],66,FALSE))</f>
        <v>187.50000137000001</v>
      </c>
      <c r="L54" s="43"/>
      <c r="M54" s="43"/>
      <c r="N54" s="43"/>
      <c r="O54" s="43"/>
      <c r="P54" s="43"/>
      <c r="Q54" s="43"/>
      <c r="R54" s="43"/>
      <c r="S54" s="48"/>
    </row>
    <row r="55" spans="1:19" ht="27.6" customHeight="1" x14ac:dyDescent="0.3">
      <c r="A55" s="43"/>
      <c r="B55" s="48"/>
      <c r="C55" s="43"/>
      <c r="D55" s="17">
        <f>IF( ISERROR(VLOOKUP(ROW(C55)-9,T_MEASURES[],2,FALSE)), "", ROW(C55)-9 )</f>
        <v>46</v>
      </c>
      <c r="E55" s="17" t="str">
        <f>IF(D55="","",VLOOKUP(D55,T_MEASURES[],2,FALSE))</f>
        <v>Med 136</v>
      </c>
      <c r="F55" s="12" t="str">
        <f>IF(D55="","",VLOOKUP(D55,T_MEASURES[],3,FALSE))</f>
        <v>Communication and awareness raising</v>
      </c>
      <c r="G55" s="12" t="str">
        <f>IF(D55="","",VLOOKUP(D55,T_MEASURES[],6,FALSE))</f>
        <v>Information campaign by municipal social services and NGOs for people who are particularly vulnerable due to their social situation</v>
      </c>
      <c r="H55" s="31">
        <f>IF(D55="","",VLOOKUP(D55,T_MEASURES[],21,FALSE))</f>
        <v>1</v>
      </c>
      <c r="I55" s="31" t="str">
        <f>IF(D55="","",VLOOKUP(D55,T_MEASURES[],11,FALSE))</f>
        <v>€</v>
      </c>
      <c r="J55" s="95" t="str">
        <f>IF(D55="","",MID(VLOOKUP(D55,T_MEASURES[],20,FALSE),FIND(". ",VLOOKUP(D55,T_MEASURES[],20,FALSE))+2,FIND(" (",VLOOKUP(D55,T_MEASURES[],20,FALSE))-FIND(".",VLOOKUP(D55,T_MEASURES[],20,FALSE))-2))</f>
        <v>High</v>
      </c>
      <c r="K55" s="102">
        <f>IF(D55="","",VLOOKUP(D55,T_MEASURES[],66,FALSE))</f>
        <v>187.50000136</v>
      </c>
      <c r="L55" s="43"/>
      <c r="M55" s="43"/>
      <c r="N55" s="43"/>
      <c r="O55" s="43"/>
      <c r="P55" s="43"/>
      <c r="Q55" s="43"/>
      <c r="R55" s="43"/>
      <c r="S55" s="48"/>
    </row>
    <row r="56" spans="1:19" ht="27.6" customHeight="1" x14ac:dyDescent="0.3">
      <c r="A56" s="43"/>
      <c r="B56" s="48"/>
      <c r="C56" s="43"/>
      <c r="D56" s="11">
        <f>IF( ISERROR(VLOOKUP(ROW(C56)-9,T_MEASURES[],2,FALSE)), "", ROW(C56)-9 )</f>
        <v>47</v>
      </c>
      <c r="E56" s="11" t="str">
        <f>IF(D56="","",VLOOKUP(D56,T_MEASURES[],2,FALSE))</f>
        <v>Med 135</v>
      </c>
      <c r="F56" s="16" t="str">
        <f>IF(D56="","",VLOOKUP(D56,T_MEASURES[],3,FALSE))</f>
        <v>Communication and awareness raising</v>
      </c>
      <c r="G56" s="16" t="str">
        <f>IF(D56="","",VLOOKUP(D56,T_MEASURES[],6,FALSE))</f>
        <v>Campaign on fire prevention measures in urbanizations near forest areas during heat waves (e.g. avoiding barbecues, clearings...)</v>
      </c>
      <c r="H56" s="30">
        <f>IF(D56="","",VLOOKUP(D56,T_MEASURES[],21,FALSE))</f>
        <v>2</v>
      </c>
      <c r="I56" s="30" t="str">
        <f>IF(D56="","",VLOOKUP(D56,T_MEASURES[],11,FALSE))</f>
        <v>€</v>
      </c>
      <c r="J56" s="94" t="str">
        <f>IF(D56="","",MID(VLOOKUP(D56,T_MEASURES[],20,FALSE),FIND(". ",VLOOKUP(D56,T_MEASURES[],20,FALSE))+2,FIND(" (",VLOOKUP(D56,T_MEASURES[],20,FALSE))-FIND(".",VLOOKUP(D56,T_MEASURES[],20,FALSE))-2))</f>
        <v>High</v>
      </c>
      <c r="K56" s="101">
        <f>IF(D56="","",VLOOKUP(D56,T_MEASURES[],66,FALSE))</f>
        <v>187.50000134999999</v>
      </c>
      <c r="L56" s="43"/>
      <c r="M56" s="43"/>
      <c r="N56" s="43"/>
      <c r="O56" s="43"/>
      <c r="P56" s="43"/>
      <c r="Q56" s="43"/>
      <c r="R56" s="43"/>
      <c r="S56" s="48"/>
    </row>
    <row r="57" spans="1:19" ht="27.6" customHeight="1" x14ac:dyDescent="0.3">
      <c r="A57" s="43"/>
      <c r="B57" s="48"/>
      <c r="C57" s="43"/>
      <c r="D57" s="17">
        <f>IF( ISERROR(VLOOKUP(ROW(C57)-9,T_MEASURES[],2,FALSE)), "", ROW(C57)-9 )</f>
        <v>48</v>
      </c>
      <c r="E57" s="17" t="str">
        <f>IF(D57="","",VLOOKUP(D57,T_MEASURES[],2,FALSE))</f>
        <v>Med 133</v>
      </c>
      <c r="F57" s="12" t="str">
        <f>IF(D57="","",VLOOKUP(D57,T_MEASURES[],3,FALSE))</f>
        <v>Communication and awareness raising</v>
      </c>
      <c r="G57" s="12" t="str">
        <f>IF(D57="","",VLOOKUP(D57,T_MEASURES[],6,FALSE))</f>
        <v>Information campaigns for municipal workers on warning and measures to prevent heat effects</v>
      </c>
      <c r="H57" s="31">
        <f>IF(D57="","",VLOOKUP(D57,T_MEASURES[],21,FALSE))</f>
        <v>1</v>
      </c>
      <c r="I57" s="31" t="str">
        <f>IF(D57="","",VLOOKUP(D57,T_MEASURES[],11,FALSE))</f>
        <v>€</v>
      </c>
      <c r="J57" s="95" t="str">
        <f>IF(D57="","",MID(VLOOKUP(D57,T_MEASURES[],20,FALSE),FIND(". ",VLOOKUP(D57,T_MEASURES[],20,FALSE))+2,FIND(" (",VLOOKUP(D57,T_MEASURES[],20,FALSE))-FIND(".",VLOOKUP(D57,T_MEASURES[],20,FALSE))-2))</f>
        <v>High</v>
      </c>
      <c r="K57" s="102">
        <f>IF(D57="","",VLOOKUP(D57,T_MEASURES[],66,FALSE))</f>
        <v>187.50000133</v>
      </c>
      <c r="L57" s="43"/>
      <c r="M57" s="43"/>
      <c r="N57" s="43"/>
      <c r="O57" s="43"/>
      <c r="P57" s="43"/>
      <c r="Q57" s="43"/>
      <c r="R57" s="43"/>
      <c r="S57" s="48"/>
    </row>
    <row r="58" spans="1:19" ht="27.6" customHeight="1" x14ac:dyDescent="0.3">
      <c r="A58" s="43"/>
      <c r="B58" s="48"/>
      <c r="C58" s="43"/>
      <c r="D58" s="11">
        <f>IF( ISERROR(VLOOKUP(ROW(C58)-9,T_MEASURES[],2,FALSE)), "", ROW(C58)-9 )</f>
        <v>49</v>
      </c>
      <c r="E58" s="11" t="str">
        <f>IF(D58="","",VLOOKUP(D58,T_MEASURES[],2,FALSE))</f>
        <v>Med 132</v>
      </c>
      <c r="F58" s="16" t="str">
        <f>IF(D58="","",VLOOKUP(D58,T_MEASURES[],3,FALSE))</f>
        <v>Communication and awareness raising</v>
      </c>
      <c r="G58" s="16" t="str">
        <f>IF(D58="","",VLOOKUP(D58,T_MEASURES[],6,FALSE))</f>
        <v>Distribution of information materials to those most vulnerable due to old age</v>
      </c>
      <c r="H58" s="30">
        <f>IF(D58="","",VLOOKUP(D58,T_MEASURES[],21,FALSE))</f>
        <v>1</v>
      </c>
      <c r="I58" s="30" t="str">
        <f>IF(D58="","",VLOOKUP(D58,T_MEASURES[],11,FALSE))</f>
        <v>€</v>
      </c>
      <c r="J58" s="94" t="str">
        <f>IF(D58="","",MID(VLOOKUP(D58,T_MEASURES[],20,FALSE),FIND(". ",VLOOKUP(D58,T_MEASURES[],20,FALSE))+2,FIND(" (",VLOOKUP(D58,T_MEASURES[],20,FALSE))-FIND(".",VLOOKUP(D58,T_MEASURES[],20,FALSE))-2))</f>
        <v>High</v>
      </c>
      <c r="K58" s="101">
        <f>IF(D58="","",VLOOKUP(D58,T_MEASURES[],66,FALSE))</f>
        <v>187.50000132</v>
      </c>
      <c r="L58" s="43"/>
      <c r="M58" s="43"/>
      <c r="N58" s="43"/>
      <c r="O58" s="43"/>
      <c r="P58" s="43"/>
      <c r="Q58" s="43"/>
      <c r="R58" s="43"/>
      <c r="S58" s="48"/>
    </row>
    <row r="59" spans="1:19" ht="27.6" customHeight="1" x14ac:dyDescent="0.3">
      <c r="A59" s="43"/>
      <c r="B59" s="48"/>
      <c r="C59" s="43"/>
      <c r="D59" s="17">
        <f>IF( ISERROR(VLOOKUP(ROW(C59)-9,T_MEASURES[],2,FALSE)), "", ROW(C59)-9 )</f>
        <v>50</v>
      </c>
      <c r="E59" s="17" t="str">
        <f>IF(D59="","",VLOOKUP(D59,T_MEASURES[],2,FALSE))</f>
        <v>Med 131</v>
      </c>
      <c r="F59" s="12" t="str">
        <f>IF(D59="","",VLOOKUP(D59,T_MEASURES[],3,FALSE))</f>
        <v>Communication and awareness raising</v>
      </c>
      <c r="G59" s="12" t="str">
        <f>IF(D59="","",VLOOKUP(D59,T_MEASURES[],6,FALSE))</f>
        <v>Development of basic information campaign for citizens and specific groups on the harmful effects of excess heat and self-protection measures to be taken (e.g. personal care, home measures)</v>
      </c>
      <c r="H59" s="31">
        <f>IF(D59="","",VLOOKUP(D59,T_MEASURES[],21,FALSE))</f>
        <v>1</v>
      </c>
      <c r="I59" s="31" t="str">
        <f>IF(D59="","",VLOOKUP(D59,T_MEASURES[],11,FALSE))</f>
        <v>€</v>
      </c>
      <c r="J59" s="95" t="str">
        <f>IF(D59="","",MID(VLOOKUP(D59,T_MEASURES[],20,FALSE),FIND(". ",VLOOKUP(D59,T_MEASURES[],20,FALSE))+2,FIND(" (",VLOOKUP(D59,T_MEASURES[],20,FALSE))-FIND(".",VLOOKUP(D59,T_MEASURES[],20,FALSE))-2))</f>
        <v>Low</v>
      </c>
      <c r="K59" s="102">
        <f>IF(D59="","",VLOOKUP(D59,T_MEASURES[],66,FALSE))</f>
        <v>187.50000130999999</v>
      </c>
      <c r="L59" s="43"/>
      <c r="M59" s="43"/>
      <c r="N59" s="43"/>
      <c r="O59" s="43"/>
      <c r="P59" s="43"/>
      <c r="Q59" s="43"/>
      <c r="R59" s="43"/>
      <c r="S59" s="48"/>
    </row>
    <row r="60" spans="1:19" ht="27.6" customHeight="1" x14ac:dyDescent="0.3">
      <c r="A60" s="43"/>
      <c r="B60" s="48"/>
      <c r="C60" s="43"/>
      <c r="D60" s="11">
        <f>IF( ISERROR(VLOOKUP(ROW(C60)-9,T_MEASURES[],2,FALSE)), "", ROW(C60)-9 )</f>
        <v>51</v>
      </c>
      <c r="E60" s="11" t="str">
        <f>IF(D60="","",VLOOKUP(D60,T_MEASURES[],2,FALSE))</f>
        <v>Med 130</v>
      </c>
      <c r="F60" s="16" t="str">
        <f>IF(D60="","",VLOOKUP(D60,T_MEASURES[],3,FALSE))</f>
        <v>Communication and awareness raising</v>
      </c>
      <c r="G60" s="16" t="str">
        <f>IF(D60="","",VLOOKUP(D60,T_MEASURES[],6,FALSE))</f>
        <v>Dissemination of information to the population about the existence of the Plan, groups of risk and meaning of the levels, through corporate channels and local media</v>
      </c>
      <c r="H60" s="30">
        <f>IF(D60="","",VLOOKUP(D60,T_MEASURES[],21,FALSE))</f>
        <v>1</v>
      </c>
      <c r="I60" s="30" t="str">
        <f>IF(D60="","",VLOOKUP(D60,T_MEASURES[],11,FALSE))</f>
        <v>€</v>
      </c>
      <c r="J60" s="94" t="str">
        <f>IF(D60="","",MID(VLOOKUP(D60,T_MEASURES[],20,FALSE),FIND(". ",VLOOKUP(D60,T_MEASURES[],20,FALSE))+2,FIND(" (",VLOOKUP(D60,T_MEASURES[],20,FALSE))-FIND(".",VLOOKUP(D60,T_MEASURES[],20,FALSE))-2))</f>
        <v>High</v>
      </c>
      <c r="K60" s="101">
        <f>IF(D60="","",VLOOKUP(D60,T_MEASURES[],66,FALSE))</f>
        <v>187.50000130000001</v>
      </c>
      <c r="L60" s="43"/>
      <c r="M60" s="144" t="s">
        <v>414</v>
      </c>
      <c r="N60" s="145"/>
      <c r="O60" s="145"/>
      <c r="P60" s="145"/>
      <c r="Q60" s="146"/>
      <c r="R60" s="43"/>
      <c r="S60" s="48"/>
    </row>
    <row r="61" spans="1:19" ht="27.6" customHeight="1" x14ac:dyDescent="0.3">
      <c r="A61" s="43"/>
      <c r="B61" s="48"/>
      <c r="C61" s="43"/>
      <c r="D61" s="17">
        <f>IF( ISERROR(VLOOKUP(ROW(C61)-9,T_MEASURES[],2,FALSE)), "", ROW(C61)-9 )</f>
        <v>52</v>
      </c>
      <c r="E61" s="17" t="str">
        <f>IF(D61="","",VLOOKUP(D61,T_MEASURES[],2,FALSE))</f>
        <v>Med 129</v>
      </c>
      <c r="F61" s="12" t="str">
        <f>IF(D61="","",VLOOKUP(D61,T_MEASURES[],3,FALSE))</f>
        <v>Communication and awareness raising</v>
      </c>
      <c r="G61" s="12" t="str">
        <f>IF(D61="","",VLOOKUP(D61,T_MEASURES[],6,FALSE))</f>
        <v xml:space="preserve">Dissemination of measures for natural cooling of buildings (simple ventilation, cross ventilation, night ventilation, evaporative cooling, reduction of the use of heat emitting equipment) </v>
      </c>
      <c r="H61" s="31">
        <f>IF(D61="","",VLOOKUP(D61,T_MEASURES[],21,FALSE))</f>
        <v>1</v>
      </c>
      <c r="I61" s="31" t="str">
        <f>IF(D61="","",VLOOKUP(D61,T_MEASURES[],11,FALSE))</f>
        <v>€</v>
      </c>
      <c r="J61" s="95" t="str">
        <f>IF(D61="","",MID(VLOOKUP(D61,T_MEASURES[],20,FALSE),FIND(". ",VLOOKUP(D61,T_MEASURES[],20,FALSE))+2,FIND(" (",VLOOKUP(D61,T_MEASURES[],20,FALSE))-FIND(".",VLOOKUP(D61,T_MEASURES[],20,FALSE))-2))</f>
        <v>High</v>
      </c>
      <c r="K61" s="102">
        <f>IF(D61="","",VLOOKUP(D61,T_MEASURES[],66,FALSE))</f>
        <v>187.50000129</v>
      </c>
      <c r="L61" s="43"/>
      <c r="M61" s="49" t="s">
        <v>35</v>
      </c>
      <c r="N61" s="49" t="s">
        <v>70</v>
      </c>
      <c r="O61" s="49" t="s">
        <v>411</v>
      </c>
      <c r="P61" s="49" t="s">
        <v>412</v>
      </c>
      <c r="Q61" s="51" t="s">
        <v>413</v>
      </c>
      <c r="R61" s="43"/>
      <c r="S61" s="48"/>
    </row>
    <row r="62" spans="1:19" ht="27.6" customHeight="1" x14ac:dyDescent="0.3">
      <c r="A62" s="43"/>
      <c r="B62" s="48"/>
      <c r="C62" s="43"/>
      <c r="D62" s="11">
        <f>IF( ISERROR(VLOOKUP(ROW(C62)-9,T_MEASURES[],2,FALSE)), "", ROW(C62)-9 )</f>
        <v>53</v>
      </c>
      <c r="E62" s="11" t="str">
        <f>IF(D62="","",VLOOKUP(D62,T_MEASURES[],2,FALSE))</f>
        <v>Med 126</v>
      </c>
      <c r="F62" s="16" t="str">
        <f>IF(D62="","",VLOOKUP(D62,T_MEASURES[],3,FALSE))</f>
        <v>Communication and awareness raising</v>
      </c>
      <c r="G62" s="16" t="str">
        <f>IF(D62="","",VLOOKUP(D62,T_MEASURES[],6,FALSE))</f>
        <v>Internal campaigns for residents and workers of social health centers on the importance of adequate hydration and monitoring the status of users most vulnerable to the effects of high temperatures</v>
      </c>
      <c r="H62" s="30">
        <f>IF(D62="","",VLOOKUP(D62,T_MEASURES[],21,FALSE))</f>
        <v>1</v>
      </c>
      <c r="I62" s="30" t="str">
        <f>IF(D62="","",VLOOKUP(D62,T_MEASURES[],11,FALSE))</f>
        <v>€</v>
      </c>
      <c r="J62" s="94" t="str">
        <f>IF(D62="","",MID(VLOOKUP(D62,T_MEASURES[],20,FALSE),FIND(". ",VLOOKUP(D62,T_MEASURES[],20,FALSE))+2,FIND(" (",VLOOKUP(D62,T_MEASURES[],20,FALSE))-FIND(".",VLOOKUP(D62,T_MEASURES[],20,FALSE))-2))</f>
        <v>Medium</v>
      </c>
      <c r="K62" s="101">
        <f>IF(D62="","",VLOOKUP(D62,T_MEASURES[],66,FALSE))</f>
        <v>187.50000126</v>
      </c>
      <c r="L62" s="43"/>
      <c r="M62" s="12" t="s">
        <v>41</v>
      </c>
      <c r="N62" s="104">
        <f>N29+N30</f>
        <v>8.2446808510638299</v>
      </c>
      <c r="O62" s="104">
        <f t="shared" ref="O62:P62" si="0">O29+O30</f>
        <v>0.625</v>
      </c>
      <c r="P62" s="104">
        <f t="shared" si="0"/>
        <v>20</v>
      </c>
      <c r="Q62" s="36"/>
      <c r="R62" s="43"/>
      <c r="S62" s="48"/>
    </row>
    <row r="63" spans="1:19" ht="27.6" customHeight="1" x14ac:dyDescent="0.3">
      <c r="A63" s="43"/>
      <c r="B63" s="48"/>
      <c r="C63" s="43"/>
      <c r="D63" s="17">
        <f>IF( ISERROR(VLOOKUP(ROW(C63)-9,T_MEASURES[],2,FALSE)), "", ROW(C63)-9 )</f>
        <v>54</v>
      </c>
      <c r="E63" s="17" t="str">
        <f>IF(D63="","",VLOOKUP(D63,T_MEASURES[],2,FALSE))</f>
        <v>Med 118</v>
      </c>
      <c r="F63" s="12" t="str">
        <f>IF(D63="","",VLOOKUP(D63,T_MEASURES[],3,FALSE))</f>
        <v>Communication and awareness raising</v>
      </c>
      <c r="G63" s="12" t="str">
        <f>IF(D63="","",VLOOKUP(D63,T_MEASURES[],6,FALSE))</f>
        <v>Design and publication of guides on "cold routes" or "cold centers" through physical panels or online applications</v>
      </c>
      <c r="H63" s="31">
        <f>IF(D63="","",VLOOKUP(D63,T_MEASURES[],21,FALSE))</f>
        <v>2</v>
      </c>
      <c r="I63" s="31" t="str">
        <f>IF(D63="","",VLOOKUP(D63,T_MEASURES[],11,FALSE))</f>
        <v>€€</v>
      </c>
      <c r="J63" s="95" t="str">
        <f>IF(D63="","",MID(VLOOKUP(D63,T_MEASURES[],20,FALSE),FIND(". ",VLOOKUP(D63,T_MEASURES[],20,FALSE))+2,FIND(" (",VLOOKUP(D63,T_MEASURES[],20,FALSE))-FIND(".",VLOOKUP(D63,T_MEASURES[],20,FALSE))-2))</f>
        <v>High</v>
      </c>
      <c r="K63" s="102">
        <f>IF(D63="","",VLOOKUP(D63,T_MEASURES[],66,FALSE))</f>
        <v>187.50000118</v>
      </c>
      <c r="L63" s="43"/>
      <c r="M63" s="12" t="s">
        <v>42</v>
      </c>
      <c r="N63" s="104">
        <f>N31+N32</f>
        <v>50.709219858156033</v>
      </c>
      <c r="O63" s="104">
        <f t="shared" ref="O63:P63" si="1">O31+O32</f>
        <v>67.5</v>
      </c>
      <c r="P63" s="104">
        <f t="shared" si="1"/>
        <v>30</v>
      </c>
      <c r="Q63" s="36"/>
      <c r="R63" s="43"/>
      <c r="S63" s="48"/>
    </row>
    <row r="64" spans="1:19" ht="27.6" customHeight="1" x14ac:dyDescent="0.3">
      <c r="A64" s="43"/>
      <c r="B64" s="48"/>
      <c r="C64" s="43"/>
      <c r="D64" s="11">
        <f>IF( ISERROR(VLOOKUP(ROW(C64)-9,T_MEASURES[],2,FALSE)), "", ROW(C64)-9 )</f>
        <v>55</v>
      </c>
      <c r="E64" s="11" t="str">
        <f>IF(D64="","",VLOOKUP(D64,T_MEASURES[],2,FALSE))</f>
        <v>Med 117</v>
      </c>
      <c r="F64" s="16" t="str">
        <f>IF(D64="","",VLOOKUP(D64,T_MEASURES[],3,FALSE))</f>
        <v>Communication and awareness raising</v>
      </c>
      <c r="G64" s="16" t="str">
        <f>IF(D64="","",VLOOKUP(D64,T_MEASURES[],6,FALSE))</f>
        <v>Placement of information panels on the alert level of each day in a place visible to all users and workers of socialhealth centers</v>
      </c>
      <c r="H64" s="30">
        <f>IF(D64="","",VLOOKUP(D64,T_MEASURES[],21,FALSE))</f>
        <v>2</v>
      </c>
      <c r="I64" s="30" t="str">
        <f>IF(D64="","",VLOOKUP(D64,T_MEASURES[],11,FALSE))</f>
        <v>€</v>
      </c>
      <c r="J64" s="94" t="str">
        <f>IF(D64="","",MID(VLOOKUP(D64,T_MEASURES[],20,FALSE),FIND(". ",VLOOKUP(D64,T_MEASURES[],20,FALSE))+2,FIND(" (",VLOOKUP(D64,T_MEASURES[],20,FALSE))-FIND(".",VLOOKUP(D64,T_MEASURES[],20,FALSE))-2))</f>
        <v>High</v>
      </c>
      <c r="K64" s="101">
        <f>IF(D64="","",VLOOKUP(D64,T_MEASURES[],66,FALSE))</f>
        <v>187.50000117000002</v>
      </c>
      <c r="L64" s="43"/>
      <c r="M64" s="12" t="s">
        <v>43</v>
      </c>
      <c r="N64" s="104">
        <f>N33+N34</f>
        <v>54.432624113475178</v>
      </c>
      <c r="O64" s="104">
        <f t="shared" ref="O64:P64" si="2">O33+O34</f>
        <v>62.5</v>
      </c>
      <c r="P64" s="104">
        <f t="shared" si="2"/>
        <v>36.25</v>
      </c>
      <c r="Q64" s="36"/>
      <c r="R64" s="43"/>
      <c r="S64" s="48"/>
    </row>
    <row r="65" spans="1:19" ht="27.6" customHeight="1" x14ac:dyDescent="0.3">
      <c r="A65" s="43"/>
      <c r="B65" s="48"/>
      <c r="C65" s="43"/>
      <c r="D65" s="17">
        <f>IF( ISERROR(VLOOKUP(ROW(C65)-9,T_MEASURES[],2,FALSE)), "", ROW(C65)-9 )</f>
        <v>56</v>
      </c>
      <c r="E65" s="17" t="str">
        <f>IF(D65="","",VLOOKUP(D65,T_MEASURES[],2,FALSE))</f>
        <v>Med 115</v>
      </c>
      <c r="F65" s="12" t="str">
        <f>IF(D65="","",VLOOKUP(D65,T_MEASURES[],3,FALSE))</f>
        <v>Ready to go measures</v>
      </c>
      <c r="G65" s="12" t="str">
        <f>IF(D65="","",VLOOKUP(D65,T_MEASURES[],6,FALSE))</f>
        <v>Strengthening communication with the services indicated in the municipal action plan in emergency situations</v>
      </c>
      <c r="H65" s="31">
        <f>IF(D65="","",VLOOKUP(D65,T_MEASURES[],21,FALSE))</f>
        <v>2</v>
      </c>
      <c r="I65" s="31" t="str">
        <f>IF(D65="","",VLOOKUP(D65,T_MEASURES[],11,FALSE))</f>
        <v>-</v>
      </c>
      <c r="J65" s="95" t="str">
        <f>IF(D65="","",MID(VLOOKUP(D65,T_MEASURES[],20,FALSE),FIND(". ",VLOOKUP(D65,T_MEASURES[],20,FALSE))+2,FIND(" (",VLOOKUP(D65,T_MEASURES[],20,FALSE))-FIND(".",VLOOKUP(D65,T_MEASURES[],20,FALSE))-2))</f>
        <v>High</v>
      </c>
      <c r="K65" s="102">
        <f>IF(D65="","",VLOOKUP(D65,T_MEASURES[],66,FALSE))</f>
        <v>187.50000115</v>
      </c>
      <c r="L65" s="43"/>
      <c r="M65" s="12" t="s">
        <v>44</v>
      </c>
      <c r="N65" s="104">
        <f>N35+N36</f>
        <v>65.691489361702125</v>
      </c>
      <c r="O65" s="104">
        <f t="shared" ref="O65:P65" si="3">O35+O36</f>
        <v>75</v>
      </c>
      <c r="P65" s="104">
        <f t="shared" si="3"/>
        <v>45</v>
      </c>
      <c r="Q65" s="36"/>
      <c r="R65" s="43"/>
      <c r="S65" s="48"/>
    </row>
    <row r="66" spans="1:19" ht="27.6" customHeight="1" x14ac:dyDescent="0.3">
      <c r="A66" s="43"/>
      <c r="B66" s="48"/>
      <c r="C66" s="43"/>
      <c r="D66" s="11">
        <f>IF( ISERROR(VLOOKUP(ROW(C66)-9,T_MEASURES[],2,FALSE)), "", ROW(C66)-9 )</f>
        <v>57</v>
      </c>
      <c r="E66" s="11" t="str">
        <f>IF(D66="","",VLOOKUP(D66,T_MEASURES[],2,FALSE))</f>
        <v>Med 114</v>
      </c>
      <c r="F66" s="16" t="str">
        <f>IF(D66="","",VLOOKUP(D66,T_MEASURES[],3,FALSE))</f>
        <v>Ready to go measures</v>
      </c>
      <c r="G66" s="16" t="str">
        <f>IF(D66="","",VLOOKUP(D66,T_MEASURES[],6,FALSE))</f>
        <v>Intensification of coordination with municipal services that can act in situations of alert for high temperatures (local police, social services, groups of volunteers, etc.).</v>
      </c>
      <c r="H66" s="30">
        <f>IF(D66="","",VLOOKUP(D66,T_MEASURES[],21,FALSE))</f>
        <v>2</v>
      </c>
      <c r="I66" s="30" t="str">
        <f>IF(D66="","",VLOOKUP(D66,T_MEASURES[],11,FALSE))</f>
        <v>-</v>
      </c>
      <c r="J66" s="94" t="str">
        <f>IF(D66="","",MID(VLOOKUP(D66,T_MEASURES[],20,FALSE),FIND(". ",VLOOKUP(D66,T_MEASURES[],20,FALSE))+2,FIND(" (",VLOOKUP(D66,T_MEASURES[],20,FALSE))-FIND(".",VLOOKUP(D66,T_MEASURES[],20,FALSE))-2))</f>
        <v>High</v>
      </c>
      <c r="K66" s="101">
        <f>IF(D66="","",VLOOKUP(D66,T_MEASURES[],66,FALSE))</f>
        <v>187.50000113999999</v>
      </c>
      <c r="L66" s="43"/>
      <c r="M66" s="97" t="s">
        <v>79</v>
      </c>
      <c r="N66" s="105">
        <f>SUM(N62:N65)</f>
        <v>179.07801418439715</v>
      </c>
      <c r="O66" s="105">
        <f t="shared" ref="O66:P66" si="4">SUM(O62:O65)</f>
        <v>205.625</v>
      </c>
      <c r="P66" s="105">
        <f t="shared" si="4"/>
        <v>131.25</v>
      </c>
      <c r="Q66" s="98"/>
      <c r="R66" s="43"/>
      <c r="S66" s="48"/>
    </row>
    <row r="67" spans="1:19" ht="27.6" customHeight="1" x14ac:dyDescent="0.3">
      <c r="A67" s="43"/>
      <c r="B67" s="48"/>
      <c r="C67" s="43"/>
      <c r="D67" s="17">
        <f>IF( ISERROR(VLOOKUP(ROW(C67)-9,T_MEASURES[],2,FALSE)), "", ROW(C67)-9 )</f>
        <v>58</v>
      </c>
      <c r="E67" s="17" t="str">
        <f>IF(D67="","",VLOOKUP(D67,T_MEASURES[],2,FALSE))</f>
        <v>Med 108</v>
      </c>
      <c r="F67" s="12" t="str">
        <f>IF(D67="","",VLOOKUP(D67,T_MEASURES[],3,FALSE))</f>
        <v>Ready to go measures</v>
      </c>
      <c r="G67" s="12" t="str">
        <f>IF(D67="","",VLOOKUP(D67,T_MEASURES[],6,FALSE))</f>
        <v>Assess the suspension, postponement or change of schedule of the activities organized for alert days that involve health risks in situations of high temperatures</v>
      </c>
      <c r="H67" s="31">
        <f>IF(D67="","",VLOOKUP(D67,T_MEASURES[],21,FALSE))</f>
        <v>1</v>
      </c>
      <c r="I67" s="31" t="str">
        <f>IF(D67="","",VLOOKUP(D67,T_MEASURES[],11,FALSE))</f>
        <v>€</v>
      </c>
      <c r="J67" s="95" t="str">
        <f>IF(D67="","",MID(VLOOKUP(D67,T_MEASURES[],20,FALSE),FIND(". ",VLOOKUP(D67,T_MEASURES[],20,FALSE))+2,FIND(" (",VLOOKUP(D67,T_MEASURES[],20,FALSE))-FIND(".",VLOOKUP(D67,T_MEASURES[],20,FALSE))-2))</f>
        <v>High</v>
      </c>
      <c r="K67" s="102">
        <f>IF(D67="","",VLOOKUP(D67,T_MEASURES[],66,FALSE))</f>
        <v>187.50000108</v>
      </c>
      <c r="L67" s="43"/>
      <c r="M67" s="43"/>
      <c r="N67" s="43"/>
      <c r="O67" s="43"/>
      <c r="P67" s="43"/>
      <c r="Q67" s="43"/>
      <c r="R67" s="43"/>
      <c r="S67" s="48"/>
    </row>
    <row r="68" spans="1:19" ht="27.6" customHeight="1" x14ac:dyDescent="0.3">
      <c r="A68" s="43"/>
      <c r="B68" s="48"/>
      <c r="C68" s="43"/>
      <c r="D68" s="11">
        <f>IF( ISERROR(VLOOKUP(ROW(C68)-9,T_MEASURES[],2,FALSE)), "", ROW(C68)-9 )</f>
        <v>59</v>
      </c>
      <c r="E68" s="11" t="str">
        <f>IF(D68="","",VLOOKUP(D68,T_MEASURES[],2,FALSE))</f>
        <v>Med 107</v>
      </c>
      <c r="F68" s="16" t="str">
        <f>IF(D68="","",VLOOKUP(D68,T_MEASURES[],3,FALSE))</f>
        <v>Ready to go measures</v>
      </c>
      <c r="G68" s="16" t="str">
        <f>IF(D68="","",VLOOKUP(D68,T_MEASURES[],6,FALSE))</f>
        <v>Coordination and information with health services to support cultural events on measures taken and alert against the appearance of symptoms of heat-associated pathology</v>
      </c>
      <c r="H68" s="30">
        <f>IF(D68="","",VLOOKUP(D68,T_MEASURES[],21,FALSE))</f>
        <v>1</v>
      </c>
      <c r="I68" s="30" t="str">
        <f>IF(D68="","",VLOOKUP(D68,T_MEASURES[],11,FALSE))</f>
        <v>€</v>
      </c>
      <c r="J68" s="94" t="str">
        <f>IF(D68="","",MID(VLOOKUP(D68,T_MEASURES[],20,FALSE),FIND(". ",VLOOKUP(D68,T_MEASURES[],20,FALSE))+2,FIND(" (",VLOOKUP(D68,T_MEASURES[],20,FALSE))-FIND(".",VLOOKUP(D68,T_MEASURES[],20,FALSE))-2))</f>
        <v>High</v>
      </c>
      <c r="K68" s="101">
        <f>IF(D68="","",VLOOKUP(D68,T_MEASURES[],66,FALSE))</f>
        <v>187.50000107</v>
      </c>
      <c r="L68" s="43"/>
      <c r="M68" s="43"/>
      <c r="N68" s="43"/>
      <c r="O68" s="43"/>
      <c r="P68" s="43"/>
      <c r="Q68" s="43"/>
      <c r="R68" s="43"/>
      <c r="S68" s="48"/>
    </row>
    <row r="69" spans="1:19" ht="27.6" customHeight="1" x14ac:dyDescent="0.3">
      <c r="A69" s="43"/>
      <c r="B69" s="48"/>
      <c r="C69" s="43"/>
      <c r="D69" s="17">
        <f>IF( ISERROR(VLOOKUP(ROW(C69)-9,T_MEASURES[],2,FALSE)), "", ROW(C69)-9 )</f>
        <v>60</v>
      </c>
      <c r="E69" s="17" t="str">
        <f>IF(D69="","",VLOOKUP(D69,T_MEASURES[],2,FALSE))</f>
        <v>Med 106</v>
      </c>
      <c r="F69" s="12" t="str">
        <f>IF(D69="","",VLOOKUP(D69,T_MEASURES[],3,FALSE))</f>
        <v>Ready to go measures</v>
      </c>
      <c r="G69" s="12" t="str">
        <f>IF(D69="","",VLOOKUP(D69,T_MEASURES[],6,FALSE))</f>
        <v>Coordination and information with health services to support sports events on measures taken and alert to the appearance of symptoms of heat-associated pathology</v>
      </c>
      <c r="H69" s="31">
        <f>IF(D69="","",VLOOKUP(D69,T_MEASURES[],21,FALSE))</f>
        <v>1</v>
      </c>
      <c r="I69" s="31" t="str">
        <f>IF(D69="","",VLOOKUP(D69,T_MEASURES[],11,FALSE))</f>
        <v>€</v>
      </c>
      <c r="J69" s="95" t="str">
        <f>IF(D69="","",MID(VLOOKUP(D69,T_MEASURES[],20,FALSE),FIND(". ",VLOOKUP(D69,T_MEASURES[],20,FALSE))+2,FIND(" (",VLOOKUP(D69,T_MEASURES[],20,FALSE))-FIND(".",VLOOKUP(D69,T_MEASURES[],20,FALSE))-2))</f>
        <v>High</v>
      </c>
      <c r="K69" s="102">
        <f>IF(D69="","",VLOOKUP(D69,T_MEASURES[],66,FALSE))</f>
        <v>187.50000105999999</v>
      </c>
      <c r="L69" s="43"/>
      <c r="M69" s="43"/>
      <c r="N69" s="43"/>
      <c r="O69" s="43"/>
      <c r="P69" s="43"/>
      <c r="Q69" s="43"/>
      <c r="R69" s="43"/>
      <c r="S69" s="48"/>
    </row>
    <row r="70" spans="1:19" ht="27.6" customHeight="1" x14ac:dyDescent="0.3">
      <c r="A70" s="43"/>
      <c r="B70" s="48"/>
      <c r="C70" s="43"/>
      <c r="D70" s="11">
        <f>IF( ISERROR(VLOOKUP(ROW(C70)-9,T_MEASURES[],2,FALSE)), "", ROW(C70)-9 )</f>
        <v>61</v>
      </c>
      <c r="E70" s="11" t="str">
        <f>IF(D70="","",VLOOKUP(D70,T_MEASURES[],2,FALSE))</f>
        <v>Med 103</v>
      </c>
      <c r="F70" s="16" t="str">
        <f>IF(D70="","",VLOOKUP(D70,T_MEASURES[],3,FALSE))</f>
        <v>Ready to go measures</v>
      </c>
      <c r="G70" s="16" t="str">
        <f>IF(D70="","",VLOOKUP(D70,T_MEASURES[],6,FALSE))</f>
        <v>Street actions to raise awareness and distribute preventive material to homeless people</v>
      </c>
      <c r="H70" s="30">
        <f>IF(D70="","",VLOOKUP(D70,T_MEASURES[],21,FALSE))</f>
        <v>1</v>
      </c>
      <c r="I70" s="30" t="str">
        <f>IF(D70="","",VLOOKUP(D70,T_MEASURES[],11,FALSE))</f>
        <v>€</v>
      </c>
      <c r="J70" s="94" t="str">
        <f>IF(D70="","",MID(VLOOKUP(D70,T_MEASURES[],20,FALSE),FIND(". ",VLOOKUP(D70,T_MEASURES[],20,FALSE))+2,FIND(" (",VLOOKUP(D70,T_MEASURES[],20,FALSE))-FIND(".",VLOOKUP(D70,T_MEASURES[],20,FALSE))-2))</f>
        <v>High</v>
      </c>
      <c r="K70" s="101">
        <f>IF(D70="","",VLOOKUP(D70,T_MEASURES[],66,FALSE))</f>
        <v>187.50000102999999</v>
      </c>
      <c r="L70" s="43"/>
      <c r="M70" s="43"/>
      <c r="N70" s="43"/>
      <c r="O70" s="43"/>
      <c r="P70" s="43"/>
      <c r="Q70" s="43"/>
      <c r="R70" s="43"/>
      <c r="S70" s="48"/>
    </row>
    <row r="71" spans="1:19" ht="27.6" customHeight="1" x14ac:dyDescent="0.3">
      <c r="A71" s="43"/>
      <c r="B71" s="48"/>
      <c r="C71" s="43"/>
      <c r="D71" s="17">
        <f>IF( ISERROR(VLOOKUP(ROW(C71)-9,T_MEASURES[],2,FALSE)), "", ROW(C71)-9 )</f>
        <v>62</v>
      </c>
      <c r="E71" s="17" t="str">
        <f>IF(D71="","",VLOOKUP(D71,T_MEASURES[],2,FALSE))</f>
        <v>Med 98</v>
      </c>
      <c r="F71" s="12" t="str">
        <f>IF(D71="","",VLOOKUP(D71,T_MEASURES[],3,FALSE))</f>
        <v>Ready to go measures</v>
      </c>
      <c r="G71" s="12" t="str">
        <f>IF(D71="","",VLOOKUP(D71,T_MEASURES[],6,FALSE))</f>
        <v>Reducing the use of equipment and facilities that generate heat in public buildings and equipment (turn off computer equipment, projectors or interactive whiteboards in stand-by mode, reduce lighting in common spaces and keep off non-LED luminaires).</v>
      </c>
      <c r="H71" s="31">
        <f>IF(D71="","",VLOOKUP(D71,T_MEASURES[],21,FALSE))</f>
        <v>4</v>
      </c>
      <c r="I71" s="31" t="str">
        <f>IF(D71="","",VLOOKUP(D71,T_MEASURES[],11,FALSE))</f>
        <v>€</v>
      </c>
      <c r="J71" s="95" t="str">
        <f>IF(D71="","",MID(VLOOKUP(D71,T_MEASURES[],20,FALSE),FIND(". ",VLOOKUP(D71,T_MEASURES[],20,FALSE))+2,FIND(" (",VLOOKUP(D71,T_MEASURES[],20,FALSE))-FIND(".",VLOOKUP(D71,T_MEASURES[],20,FALSE))-2))</f>
        <v>High</v>
      </c>
      <c r="K71" s="102">
        <f>IF(D71="","",VLOOKUP(D71,T_MEASURES[],66,FALSE))</f>
        <v>187.50000097999998</v>
      </c>
      <c r="L71" s="43"/>
      <c r="M71" s="43"/>
      <c r="N71" s="43"/>
      <c r="O71" s="43"/>
      <c r="P71" s="43"/>
      <c r="Q71" s="43"/>
      <c r="R71" s="43"/>
      <c r="S71" s="48"/>
    </row>
    <row r="72" spans="1:19" ht="27.6" customHeight="1" x14ac:dyDescent="0.3">
      <c r="A72" s="43"/>
      <c r="B72" s="48"/>
      <c r="C72" s="43"/>
      <c r="D72" s="11">
        <f>IF( ISERROR(VLOOKUP(ROW(C72)-9,T_MEASURES[],2,FALSE)), "", ROW(C72)-9 )</f>
        <v>63</v>
      </c>
      <c r="E72" s="11" t="str">
        <f>IF(D72="","",VLOOKUP(D72,T_MEASURES[],2,FALSE))</f>
        <v>Med 97</v>
      </c>
      <c r="F72" s="16" t="str">
        <f>IF(D72="","",VLOOKUP(D72,T_MEASURES[],3,FALSE))</f>
        <v>Ready to go measures</v>
      </c>
      <c r="G72" s="16" t="str">
        <f>IF(D72="","",VLOOKUP(D72,T_MEASURES[],6,FALSE))</f>
        <v>Use of protective elements (awnings, blinds, vinyl screens) in windows of public buildings at times of direct radiation</v>
      </c>
      <c r="H72" s="30">
        <f>IF(D72="","",VLOOKUP(D72,T_MEASURES[],21,FALSE))</f>
        <v>4</v>
      </c>
      <c r="I72" s="30" t="str">
        <f>IF(D72="","",VLOOKUP(D72,T_MEASURES[],11,FALSE))</f>
        <v>€€</v>
      </c>
      <c r="J72" s="94" t="str">
        <f>IF(D72="","",MID(VLOOKUP(D72,T_MEASURES[],20,FALSE),FIND(". ",VLOOKUP(D72,T_MEASURES[],20,FALSE))+2,FIND(" (",VLOOKUP(D72,T_MEASURES[],20,FALSE))-FIND(".",VLOOKUP(D72,T_MEASURES[],20,FALSE))-2))</f>
        <v>High</v>
      </c>
      <c r="K72" s="101">
        <f>IF(D72="","",VLOOKUP(D72,T_MEASURES[],66,FALSE))</f>
        <v>187.50000097</v>
      </c>
      <c r="L72" s="43"/>
      <c r="M72" s="43"/>
      <c r="N72" s="43"/>
      <c r="O72" s="43"/>
      <c r="P72" s="43"/>
      <c r="Q72" s="43"/>
      <c r="R72" s="43"/>
      <c r="S72" s="48"/>
    </row>
    <row r="73" spans="1:19" ht="27.6" customHeight="1" x14ac:dyDescent="0.3">
      <c r="A73" s="43"/>
      <c r="B73" s="48"/>
      <c r="C73" s="43"/>
      <c r="D73" s="17">
        <f>IF( ISERROR(VLOOKUP(ROW(C73)-9,T_MEASURES[],2,FALSE)), "", ROW(C73)-9 )</f>
        <v>64</v>
      </c>
      <c r="E73" s="17" t="str">
        <f>IF(D73="","",VLOOKUP(D73,T_MEASURES[],2,FALSE))</f>
        <v>Med 95</v>
      </c>
      <c r="F73" s="12" t="str">
        <f>IF(D73="","",VLOOKUP(D73,T_MEASURES[],3,FALSE))</f>
        <v>Ready to go measures</v>
      </c>
      <c r="G73" s="12" t="str">
        <f>IF(D73="","",VLOOKUP(D73,T_MEASURES[],6,FALSE))</f>
        <v>Avoid holding activities and events outdoors, especially if they involve exposure to the sun and at the central moments of the day.</v>
      </c>
      <c r="H73" s="31">
        <f>IF(D73="","",VLOOKUP(D73,T_MEASURES[],21,FALSE))</f>
        <v>2</v>
      </c>
      <c r="I73" s="31" t="str">
        <f>IF(D73="","",VLOOKUP(D73,T_MEASURES[],11,FALSE))</f>
        <v>€</v>
      </c>
      <c r="J73" s="95" t="str">
        <f>IF(D73="","",MID(VLOOKUP(D73,T_MEASURES[],20,FALSE),FIND(". ",VLOOKUP(D73,T_MEASURES[],20,FALSE))+2,FIND(" (",VLOOKUP(D73,T_MEASURES[],20,FALSE))-FIND(".",VLOOKUP(D73,T_MEASURES[],20,FALSE))-2))</f>
        <v>High</v>
      </c>
      <c r="K73" s="102">
        <f>IF(D73="","",VLOOKUP(D73,T_MEASURES[],66,FALSE))</f>
        <v>187.50000094999999</v>
      </c>
      <c r="L73" s="43"/>
      <c r="M73" s="43"/>
      <c r="N73" s="43"/>
      <c r="O73" s="43"/>
      <c r="P73" s="43"/>
      <c r="Q73" s="43"/>
      <c r="R73" s="43"/>
      <c r="S73" s="48"/>
    </row>
    <row r="74" spans="1:19" ht="27.6" customHeight="1" x14ac:dyDescent="0.3">
      <c r="A74" s="43"/>
      <c r="B74" s="48"/>
      <c r="C74" s="43"/>
      <c r="D74" s="11">
        <f>IF( ISERROR(VLOOKUP(ROW(C74)-9,T_MEASURES[],2,FALSE)), "", ROW(C74)-9 )</f>
        <v>65</v>
      </c>
      <c r="E74" s="11" t="str">
        <f>IF(D74="","",VLOOKUP(D74,T_MEASURES[],2,FALSE))</f>
        <v>Med 94</v>
      </c>
      <c r="F74" s="16" t="str">
        <f>IF(D74="","",VLOOKUP(D74,T_MEASURES[],3,FALSE))</f>
        <v>Ready to go measures</v>
      </c>
      <c r="G74" s="16" t="str">
        <f>IF(D74="","",VLOOKUP(D74,T_MEASURES[],6,FALSE))</f>
        <v>Relocation of activities with users in public facilities, on the ground floors and facing north and northeast of the buildings, avoiding spaces that concentrate heat: spaces under deck, spaces with difficulty of ventilation (single orientation, those that give to streets of intense traffic or to surfaces that radiate heat), spaces with large unprotected glazed surfaces.</v>
      </c>
      <c r="H74" s="30">
        <f>IF(D74="","",VLOOKUP(D74,T_MEASURES[],21,FALSE))</f>
        <v>4</v>
      </c>
      <c r="I74" s="30" t="str">
        <f>IF(D74="","",VLOOKUP(D74,T_MEASURES[],11,FALSE))</f>
        <v>€</v>
      </c>
      <c r="J74" s="94" t="str">
        <f>IF(D74="","",MID(VLOOKUP(D74,T_MEASURES[],20,FALSE),FIND(". ",VLOOKUP(D74,T_MEASURES[],20,FALSE))+2,FIND(" (",VLOOKUP(D74,T_MEASURES[],20,FALSE))-FIND(".",VLOOKUP(D74,T_MEASURES[],20,FALSE))-2))</f>
        <v>High</v>
      </c>
      <c r="K74" s="101">
        <f>IF(D74="","",VLOOKUP(D74,T_MEASURES[],66,FALSE))</f>
        <v>187.50000093999998</v>
      </c>
      <c r="L74" s="43"/>
      <c r="M74" s="43"/>
      <c r="N74" s="43"/>
      <c r="O74" s="43"/>
      <c r="P74" s="43"/>
      <c r="Q74" s="43"/>
      <c r="R74" s="43"/>
      <c r="S74" s="48"/>
    </row>
    <row r="75" spans="1:19" ht="27.6" customHeight="1" x14ac:dyDescent="0.3">
      <c r="A75" s="43"/>
      <c r="B75" s="48"/>
      <c r="C75" s="43"/>
      <c r="D75" s="17">
        <f>IF( ISERROR(VLOOKUP(ROW(C75)-9,T_MEASURES[],2,FALSE)), "", ROW(C75)-9 )</f>
        <v>66</v>
      </c>
      <c r="E75" s="17" t="str">
        <f>IF(D75="","",VLOOKUP(D75,T_MEASURES[],2,FALSE))</f>
        <v>Med 85</v>
      </c>
      <c r="F75" s="12" t="str">
        <f>IF(D75="","",VLOOKUP(D75,T_MEASURES[],3,FALSE))</f>
        <v>Ready to go measures</v>
      </c>
      <c r="G75" s="12" t="str">
        <f>IF(D75="","",VLOOKUP(D75,T_MEASURES[],6,FALSE))</f>
        <v>Development of a special heat protection device to assist the homeless, enabling additional accommodation places in the central hours of the day, staggered according to the level of risk</v>
      </c>
      <c r="H75" s="31">
        <f>IF(D75="","",VLOOKUP(D75,T_MEASURES[],21,FALSE))</f>
        <v>2</v>
      </c>
      <c r="I75" s="31" t="str">
        <f>IF(D75="","",VLOOKUP(D75,T_MEASURES[],11,FALSE))</f>
        <v>€</v>
      </c>
      <c r="J75" s="95" t="str">
        <f>IF(D75="","",MID(VLOOKUP(D75,T_MEASURES[],20,FALSE),FIND(". ",VLOOKUP(D75,T_MEASURES[],20,FALSE))+2,FIND(" (",VLOOKUP(D75,T_MEASURES[],20,FALSE))-FIND(".",VLOOKUP(D75,T_MEASURES[],20,FALSE))-2))</f>
        <v>High</v>
      </c>
      <c r="K75" s="102">
        <f>IF(D75="","",VLOOKUP(D75,T_MEASURES[],66,FALSE))</f>
        <v>187.50000084999999</v>
      </c>
      <c r="L75" s="43"/>
      <c r="M75" s="43"/>
      <c r="N75" s="43"/>
      <c r="O75" s="43"/>
      <c r="P75" s="43"/>
      <c r="Q75" s="43"/>
      <c r="R75" s="43"/>
      <c r="S75" s="48"/>
    </row>
    <row r="76" spans="1:19" ht="27.6" customHeight="1" x14ac:dyDescent="0.3">
      <c r="A76" s="43"/>
      <c r="B76" s="48"/>
      <c r="C76" s="43"/>
      <c r="D76" s="11">
        <f>IF( ISERROR(VLOOKUP(ROW(C76)-9,T_MEASURES[],2,FALSE)), "", ROW(C76)-9 )</f>
        <v>67</v>
      </c>
      <c r="E76" s="11" t="str">
        <f>IF(D76="","",VLOOKUP(D76,T_MEASURES[],2,FALSE))</f>
        <v>Med 82</v>
      </c>
      <c r="F76" s="16" t="str">
        <f>IF(D76="","",VLOOKUP(D76,T_MEASURES[],3,FALSE))</f>
        <v>Ready to go measures</v>
      </c>
      <c r="G76" s="16" t="str">
        <f>IF(D76="","",VLOOKUP(D76,T_MEASURES[],6,FALSE))</f>
        <v>Ventilation of public buildings at night so that the accumulated heat radiates into the atmosphere</v>
      </c>
      <c r="H76" s="30">
        <f>IF(D76="","",VLOOKUP(D76,T_MEASURES[],21,FALSE))</f>
        <v>4</v>
      </c>
      <c r="I76" s="30" t="str">
        <f>IF(D76="","",VLOOKUP(D76,T_MEASURES[],11,FALSE))</f>
        <v>€</v>
      </c>
      <c r="J76" s="94" t="str">
        <f>IF(D76="","",MID(VLOOKUP(D76,T_MEASURES[],20,FALSE),FIND(". ",VLOOKUP(D76,T_MEASURES[],20,FALSE))+2,FIND(" (",VLOOKUP(D76,T_MEASURES[],20,FALSE))-FIND(".",VLOOKUP(D76,T_MEASURES[],20,FALSE))-2))</f>
        <v>High</v>
      </c>
      <c r="K76" s="101">
        <f>IF(D76="","",VLOOKUP(D76,T_MEASURES[],66,FALSE))</f>
        <v>187.50000082</v>
      </c>
      <c r="L76" s="43"/>
      <c r="M76" s="43"/>
      <c r="N76" s="43"/>
      <c r="O76" s="43"/>
      <c r="P76" s="43"/>
      <c r="Q76" s="43"/>
      <c r="R76" s="43"/>
      <c r="S76" s="48"/>
    </row>
    <row r="77" spans="1:19" ht="27.6" customHeight="1" x14ac:dyDescent="0.3">
      <c r="A77" s="43"/>
      <c r="B77" s="48"/>
      <c r="C77" s="43"/>
      <c r="D77" s="17">
        <f>IF( ISERROR(VLOOKUP(ROW(C77)-9,T_MEASURES[],2,FALSE)), "", ROW(C77)-9 )</f>
        <v>68</v>
      </c>
      <c r="E77" s="17" t="str">
        <f>IF(D77="","",VLOOKUP(D77,T_MEASURES[],2,FALSE))</f>
        <v>Med 80</v>
      </c>
      <c r="F77" s="12" t="str">
        <f>IF(D77="","",VLOOKUP(D77,T_MEASURES[],3,FALSE))</f>
        <v>Ready to go measures</v>
      </c>
      <c r="G77" s="12" t="str">
        <f>IF(D77="","",VLOOKUP(D77,T_MEASURES[],6,FALSE))</f>
        <v>Cancellation of outdoor events due to the activation of high risk levels due to extreme temperatures</v>
      </c>
      <c r="H77" s="31">
        <f>IF(D77="","",VLOOKUP(D77,T_MEASURES[],21,FALSE))</f>
        <v>2</v>
      </c>
      <c r="I77" s="31" t="str">
        <f>IF(D77="","",VLOOKUP(D77,T_MEASURES[],11,FALSE))</f>
        <v>€</v>
      </c>
      <c r="J77" s="95" t="str">
        <f>IF(D77="","",MID(VLOOKUP(D77,T_MEASURES[],20,FALSE),FIND(". ",VLOOKUP(D77,T_MEASURES[],20,FALSE))+2,FIND(" (",VLOOKUP(D77,T_MEASURES[],20,FALSE))-FIND(".",VLOOKUP(D77,T_MEASURES[],20,FALSE))-2))</f>
        <v>High</v>
      </c>
      <c r="K77" s="102">
        <f>IF(D77="","",VLOOKUP(D77,T_MEASURES[],66,FALSE))</f>
        <v>187.50000080000001</v>
      </c>
      <c r="L77" s="43"/>
      <c r="M77" s="43"/>
      <c r="N77" s="43"/>
      <c r="O77" s="43"/>
      <c r="P77" s="43"/>
      <c r="Q77" s="43"/>
      <c r="R77" s="43"/>
      <c r="S77" s="48"/>
    </row>
    <row r="78" spans="1:19" ht="27.6" customHeight="1" x14ac:dyDescent="0.3">
      <c r="A78" s="43"/>
      <c r="B78" s="48"/>
      <c r="C78" s="43"/>
      <c r="D78" s="11">
        <f>IF( ISERROR(VLOOKUP(ROW(C78)-9,T_MEASURES[],2,FALSE)), "", ROW(C78)-9 )</f>
        <v>69</v>
      </c>
      <c r="E78" s="11" t="str">
        <f>IF(D78="","",VLOOKUP(D78,T_MEASURES[],2,FALSE))</f>
        <v>Med 79</v>
      </c>
      <c r="F78" s="16" t="str">
        <f>IF(D78="","",VLOOKUP(D78,T_MEASURES[],3,FALSE))</f>
        <v>Ready to go measures</v>
      </c>
      <c r="G78" s="16" t="str">
        <f>IF(D78="","",VLOOKUP(D78,T_MEASURES[],6,FALSE))</f>
        <v>Review and monitoring of meteorological phenomena when it is planned to carry out some type of cultural activity or public event in outdoor spaces, with the aim of maximizing precautions, avoiding risks and activating protocols.</v>
      </c>
      <c r="H78" s="30">
        <f>IF(D78="","",VLOOKUP(D78,T_MEASURES[],21,FALSE))</f>
        <v>1</v>
      </c>
      <c r="I78" s="30" t="str">
        <f>IF(D78="","",VLOOKUP(D78,T_MEASURES[],11,FALSE))</f>
        <v>€</v>
      </c>
      <c r="J78" s="94" t="str">
        <f>IF(D78="","",MID(VLOOKUP(D78,T_MEASURES[],20,FALSE),FIND(". ",VLOOKUP(D78,T_MEASURES[],20,FALSE))+2,FIND(" (",VLOOKUP(D78,T_MEASURES[],20,FALSE))-FIND(".",VLOOKUP(D78,T_MEASURES[],20,FALSE))-2))</f>
        <v>High</v>
      </c>
      <c r="K78" s="101">
        <f>IF(D78="","",VLOOKUP(D78,T_MEASURES[],66,FALSE))</f>
        <v>187.50000079</v>
      </c>
      <c r="L78" s="43"/>
      <c r="M78" s="43"/>
      <c r="N78" s="43"/>
      <c r="O78" s="43"/>
      <c r="P78" s="43"/>
      <c r="Q78" s="43"/>
      <c r="R78" s="43"/>
      <c r="S78" s="48"/>
    </row>
    <row r="79" spans="1:19" ht="27.6" customHeight="1" x14ac:dyDescent="0.3">
      <c r="A79" s="43"/>
      <c r="B79" s="48"/>
      <c r="C79" s="43"/>
      <c r="D79" s="17">
        <f>IF( ISERROR(VLOOKUP(ROW(C79)-9,T_MEASURES[],2,FALSE)), "", ROW(C79)-9 )</f>
        <v>70</v>
      </c>
      <c r="E79" s="17" t="str">
        <f>IF(D79="","",VLOOKUP(D79,T_MEASURES[],2,FALSE))</f>
        <v>Med 76</v>
      </c>
      <c r="F79" s="12" t="str">
        <f>IF(D79="","",VLOOKUP(D79,T_MEASURES[],3,FALSE))</f>
        <v>Ready to go measures</v>
      </c>
      <c r="G79" s="12" t="str">
        <f>IF(D79="","",VLOOKUP(D79,T_MEASURES[],6,FALSE))</f>
        <v>Provision of systems to facilitate the application of personal refrigeration measures for workers (showers, wetting head or neck)</v>
      </c>
      <c r="H79" s="31">
        <f>IF(D79="","",VLOOKUP(D79,T_MEASURES[],21,FALSE))</f>
        <v>1</v>
      </c>
      <c r="I79" s="31" t="str">
        <f>IF(D79="","",VLOOKUP(D79,T_MEASURES[],11,FALSE))</f>
        <v>€</v>
      </c>
      <c r="J79" s="95" t="str">
        <f>IF(D79="","",MID(VLOOKUP(D79,T_MEASURES[],20,FALSE),FIND(". ",VLOOKUP(D79,T_MEASURES[],20,FALSE))+2,FIND(" (",VLOOKUP(D79,T_MEASURES[],20,FALSE))-FIND(".",VLOOKUP(D79,T_MEASURES[],20,FALSE))-2))</f>
        <v>High</v>
      </c>
      <c r="K79" s="102">
        <f>IF(D79="","",VLOOKUP(D79,T_MEASURES[],66,FALSE))</f>
        <v>187.50000076000001</v>
      </c>
      <c r="L79" s="43"/>
      <c r="M79" s="43"/>
      <c r="N79" s="43"/>
      <c r="O79" s="43"/>
      <c r="P79" s="43"/>
      <c r="Q79" s="43"/>
      <c r="R79" s="43"/>
      <c r="S79" s="48"/>
    </row>
    <row r="80" spans="1:19" ht="27.6" customHeight="1" x14ac:dyDescent="0.3">
      <c r="A80" s="43"/>
      <c r="B80" s="48"/>
      <c r="C80" s="43"/>
      <c r="D80" s="11">
        <f>IF( ISERROR(VLOOKUP(ROW(C80)-9,T_MEASURES[],2,FALSE)), "", ROW(C80)-9 )</f>
        <v>71</v>
      </c>
      <c r="E80" s="11" t="str">
        <f>IF(D80="","",VLOOKUP(D80,T_MEASURES[],2,FALSE))</f>
        <v>Med 75</v>
      </c>
      <c r="F80" s="16" t="str">
        <f>IF(D80="","",VLOOKUP(D80,T_MEASURES[],3,FALSE))</f>
        <v>Ready to go measures</v>
      </c>
      <c r="G80" s="16" t="str">
        <f>IF(D80="","",VLOOKUP(D80,T_MEASURES[],6,FALSE))</f>
        <v>Establishment of water supply points to ensure that it is within reach of workers</v>
      </c>
      <c r="H80" s="30">
        <f>IF(D80="","",VLOOKUP(D80,T_MEASURES[],21,FALSE))</f>
        <v>1</v>
      </c>
      <c r="I80" s="30" t="str">
        <f>IF(D80="","",VLOOKUP(D80,T_MEASURES[],11,FALSE))</f>
        <v>€</v>
      </c>
      <c r="J80" s="94" t="str">
        <f>IF(D80="","",MID(VLOOKUP(D80,T_MEASURES[],20,FALSE),FIND(". ",VLOOKUP(D80,T_MEASURES[],20,FALSE))+2,FIND(" (",VLOOKUP(D80,T_MEASURES[],20,FALSE))-FIND(".",VLOOKUP(D80,T_MEASURES[],20,FALSE))-2))</f>
        <v>High</v>
      </c>
      <c r="K80" s="101">
        <f>IF(D80="","",VLOOKUP(D80,T_MEASURES[],66,FALSE))</f>
        <v>187.50000075</v>
      </c>
      <c r="L80" s="43"/>
      <c r="M80" s="43"/>
      <c r="N80" s="43"/>
      <c r="O80" s="43"/>
      <c r="P80" s="43"/>
      <c r="Q80" s="43"/>
      <c r="R80" s="43"/>
      <c r="S80" s="48"/>
    </row>
    <row r="81" spans="1:19" ht="27.6" customHeight="1" x14ac:dyDescent="0.3">
      <c r="A81" s="43"/>
      <c r="B81" s="48"/>
      <c r="C81" s="43"/>
      <c r="D81" s="17">
        <f>IF( ISERROR(VLOOKUP(ROW(C81)-9,T_MEASURES[],2,FALSE)), "", ROW(C81)-9 )</f>
        <v>72</v>
      </c>
      <c r="E81" s="17" t="str">
        <f>IF(D81="","",VLOOKUP(D81,T_MEASURES[],2,FALSE))</f>
        <v>Med 69</v>
      </c>
      <c r="F81" s="12" t="str">
        <f>IF(D81="","",VLOOKUP(D81,T_MEASURES[],3,FALSE))</f>
        <v>Ready to go measures</v>
      </c>
      <c r="G81" s="12" t="str">
        <f>IF(D81="","",VLOOKUP(D81,T_MEASURES[],6,FALSE))</f>
        <v>Collaboration with rescue and lifeguard organizations to increase lifeguard patrols on beaches and pools</v>
      </c>
      <c r="H81" s="31">
        <f>IF(D81="","",VLOOKUP(D81,T_MEASURES[],21,FALSE))</f>
        <v>1</v>
      </c>
      <c r="I81" s="31" t="str">
        <f>IF(D81="","",VLOOKUP(D81,T_MEASURES[],11,FALSE))</f>
        <v>€</v>
      </c>
      <c r="J81" s="95" t="str">
        <f>IF(D81="","",MID(VLOOKUP(D81,T_MEASURES[],20,FALSE),FIND(". ",VLOOKUP(D81,T_MEASURES[],20,FALSE))+2,FIND(" (",VLOOKUP(D81,T_MEASURES[],20,FALSE))-FIND(".",VLOOKUP(D81,T_MEASURES[],20,FALSE))-2))</f>
        <v>High</v>
      </c>
      <c r="K81" s="102">
        <f>IF(D81="","",VLOOKUP(D81,T_MEASURES[],66,FALSE))</f>
        <v>187.50000068999998</v>
      </c>
      <c r="L81" s="43"/>
      <c r="M81" s="43"/>
      <c r="N81" s="43"/>
      <c r="O81" s="43"/>
      <c r="P81" s="43"/>
      <c r="Q81" s="43"/>
      <c r="R81" s="43"/>
      <c r="S81" s="48"/>
    </row>
    <row r="82" spans="1:19" ht="27.6" customHeight="1" x14ac:dyDescent="0.3">
      <c r="A82" s="43"/>
      <c r="B82" s="48"/>
      <c r="C82" s="43"/>
      <c r="D82" s="11">
        <f>IF( ISERROR(VLOOKUP(ROW(C82)-9,T_MEASURES[],2,FALSE)), "", ROW(C82)-9 )</f>
        <v>73</v>
      </c>
      <c r="E82" s="11" t="str">
        <f>IF(D82="","",VLOOKUP(D82,T_MEASURES[],2,FALSE))</f>
        <v>Med 67</v>
      </c>
      <c r="F82" s="16" t="str">
        <f>IF(D82="","",VLOOKUP(D82,T_MEASURES[],3,FALSE))</f>
        <v>Ready to go measures</v>
      </c>
      <c r="G82" s="16" t="str">
        <f>IF(D82="","",VLOOKUP(D82,T_MEASURES[],6,FALSE))</f>
        <v>Extension of schedules of public and private pools (gyms, neighborhood communities) through agreements with operators and responsible for their management</v>
      </c>
      <c r="H82" s="30">
        <f>IF(D82="","",VLOOKUP(D82,T_MEASURES[],21,FALSE))</f>
        <v>2</v>
      </c>
      <c r="I82" s="30" t="str">
        <f>IF(D82="","",VLOOKUP(D82,T_MEASURES[],11,FALSE))</f>
        <v>€</v>
      </c>
      <c r="J82" s="94" t="str">
        <f>IF(D82="","",MID(VLOOKUP(D82,T_MEASURES[],20,FALSE),FIND(". ",VLOOKUP(D82,T_MEASURES[],20,FALSE))+2,FIND(" (",VLOOKUP(D82,T_MEASURES[],20,FALSE))-FIND(".",VLOOKUP(D82,T_MEASURES[],20,FALSE))-2))</f>
        <v>High</v>
      </c>
      <c r="K82" s="101">
        <f>IF(D82="","",VLOOKUP(D82,T_MEASURES[],66,FALSE))</f>
        <v>187.50000067000002</v>
      </c>
      <c r="L82" s="43"/>
      <c r="M82" s="43"/>
      <c r="N82" s="43"/>
      <c r="O82" s="43"/>
      <c r="P82" s="43"/>
      <c r="Q82" s="43"/>
      <c r="R82" s="43"/>
      <c r="S82" s="48"/>
    </row>
    <row r="83" spans="1:19" ht="27.6" customHeight="1" x14ac:dyDescent="0.3">
      <c r="A83" s="43"/>
      <c r="B83" s="48"/>
      <c r="C83" s="43"/>
      <c r="D83" s="17">
        <f>IF( ISERROR(VLOOKUP(ROW(C83)-9,T_MEASURES[],2,FALSE)), "", ROW(C83)-9 )</f>
        <v>74</v>
      </c>
      <c r="E83" s="17" t="str">
        <f>IF(D83="","",VLOOKUP(D83,T_MEASURES[],2,FALSE))</f>
        <v>Med 65</v>
      </c>
      <c r="F83" s="12" t="str">
        <f>IF(D83="","",VLOOKUP(D83,T_MEASURES[],3,FALSE))</f>
        <v>Ready to go measures</v>
      </c>
      <c r="G83" s="12" t="str">
        <f>IF(D83="","",VLOOKUP(D83,T_MEASURES[],6,FALSE))</f>
        <v>Launch of a volunteer programme to monitor the state of the most vulnerable neighbours during heatwaves</v>
      </c>
      <c r="H83" s="31">
        <f>IF(D83="","",VLOOKUP(D83,T_MEASURES[],21,FALSE))</f>
        <v>2</v>
      </c>
      <c r="I83" s="31" t="str">
        <f>IF(D83="","",VLOOKUP(D83,T_MEASURES[],11,FALSE))</f>
        <v>€</v>
      </c>
      <c r="J83" s="95" t="str">
        <f>IF(D83="","",MID(VLOOKUP(D83,T_MEASURES[],20,FALSE),FIND(". ",VLOOKUP(D83,T_MEASURES[],20,FALSE))+2,FIND(" (",VLOOKUP(D83,T_MEASURES[],20,FALSE))-FIND(".",VLOOKUP(D83,T_MEASURES[],20,FALSE))-2))</f>
        <v>High</v>
      </c>
      <c r="K83" s="102">
        <f>IF(D83="","",VLOOKUP(D83,T_MEASURES[],66,FALSE))</f>
        <v>187.50000065</v>
      </c>
      <c r="L83" s="43"/>
      <c r="M83" s="43"/>
      <c r="N83" s="43"/>
      <c r="O83" s="43"/>
      <c r="P83" s="43"/>
      <c r="Q83" s="43"/>
      <c r="R83" s="43"/>
      <c r="S83" s="48"/>
    </row>
    <row r="84" spans="1:19" ht="27.6" customHeight="1" x14ac:dyDescent="0.3">
      <c r="A84" s="43"/>
      <c r="B84" s="48"/>
      <c r="C84" s="43"/>
      <c r="D84" s="11">
        <f>IF( ISERROR(VLOOKUP(ROW(C84)-9,T_MEASURES[],2,FALSE)), "", ROW(C84)-9 )</f>
        <v>75</v>
      </c>
      <c r="E84" s="11" t="str">
        <f>IF(D84="","",VLOOKUP(D84,T_MEASURES[],2,FALSE))</f>
        <v>Med 62</v>
      </c>
      <c r="F84" s="16" t="str">
        <f>IF(D84="","",VLOOKUP(D84,T_MEASURES[],3,FALSE))</f>
        <v>Ready to go measures</v>
      </c>
      <c r="G84" s="16" t="str">
        <f>IF(D84="","",VLOOKUP(D84,T_MEASURES[],6,FALSE))</f>
        <v xml:space="preserve">Vaporative cooling, watering at night the pavements of plot-free spaces and moistening the surfaces exposed to direct solar radiation during heat waves </v>
      </c>
      <c r="H84" s="30">
        <f>IF(D84="","",VLOOKUP(D84,T_MEASURES[],21,FALSE))</f>
        <v>2</v>
      </c>
      <c r="I84" s="30" t="str">
        <f>IF(D84="","",VLOOKUP(D84,T_MEASURES[],11,FALSE))</f>
        <v>€€</v>
      </c>
      <c r="J84" s="94" t="str">
        <f>IF(D84="","",MID(VLOOKUP(D84,T_MEASURES[],20,FALSE),FIND(". ",VLOOKUP(D84,T_MEASURES[],20,FALSE))+2,FIND(" (",VLOOKUP(D84,T_MEASURES[],20,FALSE))-FIND(".",VLOOKUP(D84,T_MEASURES[],20,FALSE))-2))</f>
        <v>High</v>
      </c>
      <c r="K84" s="101">
        <f>IF(D84="","",VLOOKUP(D84,T_MEASURES[],66,FALSE))</f>
        <v>187.50000062000001</v>
      </c>
      <c r="L84" s="43"/>
      <c r="M84" s="43"/>
      <c r="N84" s="43"/>
      <c r="O84" s="43"/>
      <c r="P84" s="43"/>
      <c r="Q84" s="43"/>
      <c r="R84" s="43"/>
      <c r="S84" s="48"/>
    </row>
    <row r="85" spans="1:19" ht="27.6" customHeight="1" x14ac:dyDescent="0.3">
      <c r="A85" s="43"/>
      <c r="B85" s="48"/>
      <c r="C85" s="43"/>
      <c r="D85" s="17">
        <f>IF( ISERROR(VLOOKUP(ROW(C85)-9,T_MEASURES[],2,FALSE)), "", ROW(C85)-9 )</f>
        <v>76</v>
      </c>
      <c r="E85" s="17" t="str">
        <f>IF(D85="","",VLOOKUP(D85,T_MEASURES[],2,FALSE))</f>
        <v>Med 45</v>
      </c>
      <c r="F85" s="12" t="str">
        <f>IF(D85="","",VLOOKUP(D85,T_MEASURES[],3,FALSE))</f>
        <v>Prevention</v>
      </c>
      <c r="G85" s="12" t="str">
        <f>IF(D85="","",VLOOKUP(D85,T_MEASURES[],6,FALSE))</f>
        <v>Carry out a work planning adapted to the condition of extreme temperatures to: planning non-light metabolic load tasks in days and hours of less heat; interrupting and postponing outdoor work; establish or modify work-rest cycles and job or task rotations</v>
      </c>
      <c r="H85" s="31">
        <f>IF(D85="","",VLOOKUP(D85,T_MEASURES[],21,FALSE))</f>
        <v>1</v>
      </c>
      <c r="I85" s="31" t="str">
        <f>IF(D85="","",VLOOKUP(D85,T_MEASURES[],11,FALSE))</f>
        <v>€</v>
      </c>
      <c r="J85" s="95" t="str">
        <f>IF(D85="","",MID(VLOOKUP(D85,T_MEASURES[],20,FALSE),FIND(". ",VLOOKUP(D85,T_MEASURES[],20,FALSE))+2,FIND(" (",VLOOKUP(D85,T_MEASURES[],20,FALSE))-FIND(".",VLOOKUP(D85,T_MEASURES[],20,FALSE))-2))</f>
        <v>No Risk</v>
      </c>
      <c r="K85" s="102">
        <f>IF(D85="","",VLOOKUP(D85,T_MEASURES[],66,FALSE))</f>
        <v>187.50000044999999</v>
      </c>
      <c r="L85" s="43"/>
      <c r="M85" s="43"/>
      <c r="N85" s="43"/>
      <c r="O85" s="43"/>
      <c r="P85" s="43"/>
      <c r="Q85" s="43"/>
      <c r="R85" s="43"/>
      <c r="S85" s="48"/>
    </row>
    <row r="86" spans="1:19" ht="27.6" customHeight="1" x14ac:dyDescent="0.3">
      <c r="A86" s="43"/>
      <c r="B86" s="48"/>
      <c r="C86" s="43"/>
      <c r="D86" s="11">
        <f>IF( ISERROR(VLOOKUP(ROW(C86)-9,T_MEASURES[],2,FALSE)), "", ROW(C86)-9 )</f>
        <v>77</v>
      </c>
      <c r="E86" s="11" t="str">
        <f>IF(D86="","",VLOOKUP(D86,T_MEASURES[],2,FALSE))</f>
        <v>Med 39</v>
      </c>
      <c r="F86" s="16" t="str">
        <f>IF(D86="","",VLOOKUP(D86,T_MEASURES[],3,FALSE))</f>
        <v>Prevention</v>
      </c>
      <c r="G86" s="16" t="str">
        <f>IF(D86="","",VLOOKUP(D86,T_MEASURES[],6,FALSE))</f>
        <v>Provision of rest areas that also allow hydration in buildings and public equipment.</v>
      </c>
      <c r="H86" s="30">
        <f>IF(D86="","",VLOOKUP(D86,T_MEASURES[],21,FALSE))</f>
        <v>4</v>
      </c>
      <c r="I86" s="30" t="str">
        <f>IF(D86="","",VLOOKUP(D86,T_MEASURES[],11,FALSE))</f>
        <v>€</v>
      </c>
      <c r="J86" s="94" t="str">
        <f>IF(D86="","",MID(VLOOKUP(D86,T_MEASURES[],20,FALSE),FIND(". ",VLOOKUP(D86,T_MEASURES[],20,FALSE))+2,FIND(" (",VLOOKUP(D86,T_MEASURES[],20,FALSE))-FIND(".",VLOOKUP(D86,T_MEASURES[],20,FALSE))-2))</f>
        <v>No Risk</v>
      </c>
      <c r="K86" s="101">
        <f>IF(D86="","",VLOOKUP(D86,T_MEASURES[],66,FALSE))</f>
        <v>187.50000039</v>
      </c>
      <c r="L86" s="43"/>
      <c r="M86" s="43"/>
      <c r="N86" s="43"/>
      <c r="O86" s="43"/>
      <c r="P86" s="43"/>
      <c r="Q86" s="43"/>
      <c r="R86" s="43"/>
      <c r="S86" s="48"/>
    </row>
    <row r="87" spans="1:19" ht="27.6" customHeight="1" x14ac:dyDescent="0.3">
      <c r="A87" s="43"/>
      <c r="B87" s="48"/>
      <c r="C87" s="43"/>
      <c r="D87" s="17">
        <f>IF( ISERROR(VLOOKUP(ROW(C87)-9,T_MEASURES[],2,FALSE)), "", ROW(C87)-9 )</f>
        <v>78</v>
      </c>
      <c r="E87" s="17" t="str">
        <f>IF(D87="","",VLOOKUP(D87,T_MEASURES[],2,FALSE))</f>
        <v>Med 33</v>
      </c>
      <c r="F87" s="12" t="str">
        <f>IF(D87="","",VLOOKUP(D87,T_MEASURES[],3,FALSE))</f>
        <v>Prevention</v>
      </c>
      <c r="G87" s="12" t="str">
        <f>IF(D87="","",VLOOKUP(D87,T_MEASURES[],6,FALSE))</f>
        <v>First aid training for drivers and other personnel related to municipal public transport</v>
      </c>
      <c r="H87" s="31">
        <f>IF(D87="","",VLOOKUP(D87,T_MEASURES[],21,FALSE))</f>
        <v>1</v>
      </c>
      <c r="I87" s="31" t="str">
        <f>IF(D87="","",VLOOKUP(D87,T_MEASURES[],11,FALSE))</f>
        <v>€</v>
      </c>
      <c r="J87" s="95" t="str">
        <f>IF(D87="","",MID(VLOOKUP(D87,T_MEASURES[],20,FALSE),FIND(". ",VLOOKUP(D87,T_MEASURES[],20,FALSE))+2,FIND(" (",VLOOKUP(D87,T_MEASURES[],20,FALSE))-FIND(".",VLOOKUP(D87,T_MEASURES[],20,FALSE))-2))</f>
        <v>Low</v>
      </c>
      <c r="K87" s="102">
        <f>IF(D87="","",VLOOKUP(D87,T_MEASURES[],66,FALSE))</f>
        <v>187.50000033000001</v>
      </c>
      <c r="L87" s="43"/>
      <c r="M87" s="43"/>
      <c r="N87" s="43"/>
      <c r="O87" s="43"/>
      <c r="P87" s="43"/>
      <c r="Q87" s="43"/>
      <c r="R87" s="43"/>
      <c r="S87" s="48"/>
    </row>
    <row r="88" spans="1:19" ht="27.6" customHeight="1" x14ac:dyDescent="0.3">
      <c r="A88" s="43"/>
      <c r="B88" s="48"/>
      <c r="C88" s="43"/>
      <c r="D88" s="11">
        <f>IF( ISERROR(VLOOKUP(ROW(C88)-9,T_MEASURES[],2,FALSE)), "", ROW(C88)-9 )</f>
        <v>79</v>
      </c>
      <c r="E88" s="11" t="str">
        <f>IF(D88="","",VLOOKUP(D88,T_MEASURES[],2,FALSE))</f>
        <v>Med 20</v>
      </c>
      <c r="F88" s="16" t="str">
        <f>IF(D88="","",VLOOKUP(D88,T_MEASURES[],3,FALSE))</f>
        <v>Prevention</v>
      </c>
      <c r="G88" s="16" t="str">
        <f>IF(D88="","",VLOOKUP(D88,T_MEASURES[],6,FALSE))</f>
        <v>Installation of textile structures with vegetation in parking areas or streets</v>
      </c>
      <c r="H88" s="30">
        <f>IF(D88="","",VLOOKUP(D88,T_MEASURES[],21,FALSE))</f>
        <v>2</v>
      </c>
      <c r="I88" s="30" t="str">
        <f>IF(D88="","",VLOOKUP(D88,T_MEASURES[],11,FALSE))</f>
        <v>€€€</v>
      </c>
      <c r="J88" s="94" t="str">
        <f>IF(D88="","",MID(VLOOKUP(D88,T_MEASURES[],20,FALSE),FIND(". ",VLOOKUP(D88,T_MEASURES[],20,FALSE))+2,FIND(" (",VLOOKUP(D88,T_MEASURES[],20,FALSE))-FIND(".",VLOOKUP(D88,T_MEASURES[],20,FALSE))-2))</f>
        <v>No Risk</v>
      </c>
      <c r="K88" s="101">
        <f>IF(D88="","",VLOOKUP(D88,T_MEASURES[],66,FALSE))</f>
        <v>187.50000019999999</v>
      </c>
      <c r="L88" s="43"/>
      <c r="M88" s="43"/>
      <c r="N88" s="43"/>
      <c r="O88" s="43"/>
      <c r="P88" s="43"/>
      <c r="Q88" s="43"/>
      <c r="R88" s="43"/>
      <c r="S88" s="48"/>
    </row>
    <row r="89" spans="1:19" ht="27.6" customHeight="1" x14ac:dyDescent="0.3">
      <c r="A89" s="43"/>
      <c r="B89" s="48"/>
      <c r="C89" s="43"/>
      <c r="D89" s="17">
        <f>IF( ISERROR(VLOOKUP(ROW(C89)-9,T_MEASURES[],2,FALSE)), "", ROW(C89)-9 )</f>
        <v>80</v>
      </c>
      <c r="E89" s="17" t="str">
        <f>IF(D89="","",VLOOKUP(D89,T_MEASURES[],2,FALSE))</f>
        <v>Med 18</v>
      </c>
      <c r="F89" s="12" t="str">
        <f>IF(D89="","",VLOOKUP(D89,T_MEASURES[],3,FALSE))</f>
        <v>Prevention</v>
      </c>
      <c r="G89" s="12" t="str">
        <f>IF(D89="","",VLOOKUP(D89,T_MEASURES[],6,FALSE))</f>
        <v>Planting urban trees in school itineraries to improve the climate comfort of children</v>
      </c>
      <c r="H89" s="31">
        <f>IF(D89="","",VLOOKUP(D89,T_MEASURES[],21,FALSE))</f>
        <v>2</v>
      </c>
      <c r="I89" s="31" t="str">
        <f>IF(D89="","",VLOOKUP(D89,T_MEASURES[],11,FALSE))</f>
        <v>€€€</v>
      </c>
      <c r="J89" s="95" t="str">
        <f>IF(D89="","",MID(VLOOKUP(D89,T_MEASURES[],20,FALSE),FIND(". ",VLOOKUP(D89,T_MEASURES[],20,FALSE))+2,FIND(" (",VLOOKUP(D89,T_MEASURES[],20,FALSE))-FIND(".",VLOOKUP(D89,T_MEASURES[],20,FALSE))-2))</f>
        <v>No Risk</v>
      </c>
      <c r="K89" s="102">
        <f>IF(D89="","",VLOOKUP(D89,T_MEASURES[],66,FALSE))</f>
        <v>187.50000018</v>
      </c>
      <c r="L89" s="43"/>
      <c r="M89" s="43"/>
      <c r="N89" s="43"/>
      <c r="O89" s="43"/>
      <c r="P89" s="43"/>
      <c r="Q89" s="43"/>
      <c r="R89" s="43"/>
      <c r="S89" s="48"/>
    </row>
    <row r="90" spans="1:19" ht="27.6" customHeight="1" x14ac:dyDescent="0.3">
      <c r="A90" s="43"/>
      <c r="B90" s="48"/>
      <c r="C90" s="43"/>
      <c r="D90" s="11">
        <f>IF( ISERROR(VLOOKUP(ROW(C90)-9,T_MEASURES[],2,FALSE)), "", ROW(C90)-9 )</f>
        <v>81</v>
      </c>
      <c r="E90" s="11" t="str">
        <f>IF(D90="","",VLOOKUP(D90,T_MEASURES[],2,FALSE))</f>
        <v>Med 11</v>
      </c>
      <c r="F90" s="16" t="str">
        <f>IF(D90="","",VLOOKUP(D90,T_MEASURES[],3,FALSE))</f>
        <v>Prevention</v>
      </c>
      <c r="G90" s="16" t="str">
        <f>IF(D90="","",VLOOKUP(D90,T_MEASURES[],6,FALSE))</f>
        <v>Installation of awnings in playgrounds</v>
      </c>
      <c r="H90" s="30">
        <f>IF(D90="","",VLOOKUP(D90,T_MEASURES[],21,FALSE))</f>
        <v>2</v>
      </c>
      <c r="I90" s="30" t="str">
        <f>IF(D90="","",VLOOKUP(D90,T_MEASURES[],11,FALSE))</f>
        <v>€€</v>
      </c>
      <c r="J90" s="94" t="str">
        <f>IF(D90="","",MID(VLOOKUP(D90,T_MEASURES[],20,FALSE),FIND(". ",VLOOKUP(D90,T_MEASURES[],20,FALSE))+2,FIND(" (",VLOOKUP(D90,T_MEASURES[],20,FALSE))-FIND(".",VLOOKUP(D90,T_MEASURES[],20,FALSE))-2))</f>
        <v>No Risk</v>
      </c>
      <c r="K90" s="101">
        <f>IF(D90="","",VLOOKUP(D90,T_MEASURES[],66,FALSE))</f>
        <v>187.50000011</v>
      </c>
      <c r="L90" s="43"/>
      <c r="M90" s="43"/>
      <c r="N90" s="43"/>
      <c r="O90" s="43"/>
      <c r="P90" s="43"/>
      <c r="Q90" s="43"/>
      <c r="R90" s="43"/>
      <c r="S90" s="48"/>
    </row>
    <row r="91" spans="1:19" ht="27.6" customHeight="1" x14ac:dyDescent="0.3">
      <c r="A91" s="43"/>
      <c r="B91" s="48"/>
      <c r="C91" s="43"/>
      <c r="D91" s="17">
        <f>IF( ISERROR(VLOOKUP(ROW(C91)-9,T_MEASURES[],2,FALSE)), "", ROW(C91)-9 )</f>
        <v>82</v>
      </c>
      <c r="E91" s="17" t="str">
        <f>IF(D91="","",VLOOKUP(D91,T_MEASURES[],2,FALSE))</f>
        <v>Med 9</v>
      </c>
      <c r="F91" s="12" t="str">
        <f>IF(D91="","",VLOOKUP(D91,T_MEASURES[],3,FALSE))</f>
        <v>Prevention</v>
      </c>
      <c r="G91" s="12" t="str">
        <f>IF(D91="","",VLOOKUP(D91,T_MEASURES[],6,FALSE))</f>
        <v>Bioclimatic evaluation of streets and squares to redefine the uses of the city according to its climatic comfort</v>
      </c>
      <c r="H91" s="31">
        <f>IF(D91="","",VLOOKUP(D91,T_MEASURES[],21,FALSE))</f>
        <v>2</v>
      </c>
      <c r="I91" s="31" t="str">
        <f>IF(D91="","",VLOOKUP(D91,T_MEASURES[],11,FALSE))</f>
        <v>€</v>
      </c>
      <c r="J91" s="95" t="str">
        <f>IF(D91="","",MID(VLOOKUP(D91,T_MEASURES[],20,FALSE),FIND(". ",VLOOKUP(D91,T_MEASURES[],20,FALSE))+2,FIND(" (",VLOOKUP(D91,T_MEASURES[],20,FALSE))-FIND(".",VLOOKUP(D91,T_MEASURES[],20,FALSE))-2))</f>
        <v>No Risk</v>
      </c>
      <c r="K91" s="102">
        <f>IF(D91="","",VLOOKUP(D91,T_MEASURES[],66,FALSE))</f>
        <v>187.50000009000001</v>
      </c>
      <c r="L91" s="43"/>
      <c r="M91" s="43"/>
      <c r="N91" s="43"/>
      <c r="O91" s="43"/>
      <c r="P91" s="43"/>
      <c r="Q91" s="43"/>
      <c r="R91" s="43"/>
      <c r="S91" s="48"/>
    </row>
    <row r="92" spans="1:19" ht="27.6" customHeight="1" x14ac:dyDescent="0.3">
      <c r="A92" s="43"/>
      <c r="B92" s="48"/>
      <c r="C92" s="43"/>
      <c r="D92" s="11">
        <f>IF( ISERROR(VLOOKUP(ROW(C92)-9,T_MEASURES[],2,FALSE)), "", ROW(C92)-9 )</f>
        <v>83</v>
      </c>
      <c r="E92" s="11" t="str">
        <f>IF(D92="","",VLOOKUP(D92,T_MEASURES[],2,FALSE))</f>
        <v>Med 116</v>
      </c>
      <c r="F92" s="16" t="str">
        <f>IF(D92="","",VLOOKUP(D92,T_MEASURES[],3,FALSE))</f>
        <v>Ready to go measures</v>
      </c>
      <c r="G92" s="16" t="str">
        <f>IF(D92="","",VLOOKUP(D92,T_MEASURES[],6,FALSE))</f>
        <v>Strengthening coordination with the bodies responsible at regional level for regional plans to prevent the effects of extreme high temperatures</v>
      </c>
      <c r="H92" s="30">
        <f>IF(D92="","",VLOOKUP(D92,T_MEASURES[],21,FALSE))</f>
        <v>2</v>
      </c>
      <c r="I92" s="30" t="str">
        <f>IF(D92="","",VLOOKUP(D92,T_MEASURES[],11,FALSE))</f>
        <v>-</v>
      </c>
      <c r="J92" s="94" t="str">
        <f>IF(D92="","",MID(VLOOKUP(D92,T_MEASURES[],20,FALSE),FIND(". ",VLOOKUP(D92,T_MEASURES[],20,FALSE))+2,FIND(" (",VLOOKUP(D92,T_MEASURES[],20,FALSE))-FIND(".",VLOOKUP(D92,T_MEASURES[],20,FALSE))-2))</f>
        <v>High</v>
      </c>
      <c r="K92" s="101">
        <f>IF(D92="","",VLOOKUP(D92,T_MEASURES[],66,FALSE))</f>
        <v>175.00000116000001</v>
      </c>
      <c r="L92" s="43"/>
      <c r="M92" s="43"/>
      <c r="N92" s="43"/>
      <c r="O92" s="43"/>
      <c r="P92" s="43"/>
      <c r="Q92" s="43"/>
      <c r="R92" s="43"/>
      <c r="S92" s="48"/>
    </row>
    <row r="93" spans="1:19" ht="27.6" customHeight="1" x14ac:dyDescent="0.3">
      <c r="A93" s="43"/>
      <c r="B93" s="48"/>
      <c r="C93" s="43"/>
      <c r="D93" s="17">
        <f>IF( ISERROR(VLOOKUP(ROW(C93)-9,T_MEASURES[],2,FALSE)), "", ROW(C93)-9 )</f>
        <v>84</v>
      </c>
      <c r="E93" s="17" t="str">
        <f>IF(D93="","",VLOOKUP(D93,T_MEASURES[],2,FALSE))</f>
        <v>Med 113</v>
      </c>
      <c r="F93" s="12" t="str">
        <f>IF(D93="","",VLOOKUP(D93,T_MEASURES[],3,FALSE))</f>
        <v>Ready to go measures</v>
      </c>
      <c r="G93" s="12" t="str">
        <f>IF(D93="","",VLOOKUP(D93,T_MEASURES[],6,FALSE))</f>
        <v>Intensification of coordination with the bodies responsible at regional level for regional plans to prevent the effects of extreme high temperatures</v>
      </c>
      <c r="H93" s="31">
        <f>IF(D93="","",VLOOKUP(D93,T_MEASURES[],21,FALSE))</f>
        <v>2</v>
      </c>
      <c r="I93" s="31" t="str">
        <f>IF(D93="","",VLOOKUP(D93,T_MEASURES[],11,FALSE))</f>
        <v>-</v>
      </c>
      <c r="J93" s="95" t="str">
        <f>IF(D93="","",MID(VLOOKUP(D93,T_MEASURES[],20,FALSE),FIND(". ",VLOOKUP(D93,T_MEASURES[],20,FALSE))+2,FIND(" (",VLOOKUP(D93,T_MEASURES[],20,FALSE))-FIND(".",VLOOKUP(D93,T_MEASURES[],20,FALSE))-2))</f>
        <v>Medium</v>
      </c>
      <c r="K93" s="102">
        <f>IF(D93="","",VLOOKUP(D93,T_MEASURES[],66,FALSE))</f>
        <v>175.00000113000002</v>
      </c>
      <c r="L93" s="43"/>
      <c r="M93" s="43"/>
      <c r="N93" s="43"/>
      <c r="O93" s="43"/>
      <c r="P93" s="43"/>
      <c r="Q93" s="43"/>
      <c r="R93" s="43"/>
      <c r="S93" s="48"/>
    </row>
    <row r="94" spans="1:19" ht="27.6" customHeight="1" x14ac:dyDescent="0.3">
      <c r="A94" s="43"/>
      <c r="B94" s="48"/>
      <c r="C94" s="43"/>
      <c r="D94" s="11">
        <f>IF( ISERROR(VLOOKUP(ROW(C94)-9,T_MEASURES[],2,FALSE)), "", ROW(C94)-9 )</f>
        <v>85</v>
      </c>
      <c r="E94" s="11" t="str">
        <f>IF(D94="","",VLOOKUP(D94,T_MEASURES[],2,FALSE))</f>
        <v>Med 102</v>
      </c>
      <c r="F94" s="16" t="str">
        <f>IF(D94="","",VLOOKUP(D94,T_MEASURES[],3,FALSE))</f>
        <v>Ready to go measures</v>
      </c>
      <c r="G94" s="16" t="str">
        <f>IF(D94="","",VLOOKUP(D94,T_MEASURES[],6,FALSE))</f>
        <v>Monitoring and adaptation of cultural events (ensuring the availability of water in sufficient points of the enclosure, providing shade areas and refreshment points, warnings to attendees by public address and to the entrance on recommendations to prevent the effects of heat...)</v>
      </c>
      <c r="H94" s="30">
        <f>IF(D94="","",VLOOKUP(D94,T_MEASURES[],21,FALSE))</f>
        <v>1</v>
      </c>
      <c r="I94" s="30" t="str">
        <f>IF(D94="","",VLOOKUP(D94,T_MEASURES[],11,FALSE))</f>
        <v>€</v>
      </c>
      <c r="J94" s="94" t="str">
        <f>IF(D94="","",MID(VLOOKUP(D94,T_MEASURES[],20,FALSE),FIND(". ",VLOOKUP(D94,T_MEASURES[],20,FALSE))+2,FIND(" (",VLOOKUP(D94,T_MEASURES[],20,FALSE))-FIND(".",VLOOKUP(D94,T_MEASURES[],20,FALSE))-2))</f>
        <v>High</v>
      </c>
      <c r="K94" s="101">
        <f>IF(D94="","",VLOOKUP(D94,T_MEASURES[],66,FALSE))</f>
        <v>175.00000101999998</v>
      </c>
      <c r="L94" s="43"/>
      <c r="M94" s="43"/>
      <c r="N94" s="43"/>
      <c r="O94" s="43"/>
      <c r="P94" s="43"/>
      <c r="Q94" s="43"/>
      <c r="R94" s="43"/>
      <c r="S94" s="48"/>
    </row>
    <row r="95" spans="1:19" ht="27.6" customHeight="1" x14ac:dyDescent="0.3">
      <c r="A95" s="43"/>
      <c r="B95" s="48"/>
      <c r="C95" s="43"/>
      <c r="D95" s="17">
        <f>IF( ISERROR(VLOOKUP(ROW(C95)-9,T_MEASURES[],2,FALSE)), "", ROW(C95)-9 )</f>
        <v>86</v>
      </c>
      <c r="E95" s="17" t="str">
        <f>IF(D95="","",VLOOKUP(D95,T_MEASURES[],2,FALSE))</f>
        <v>Med 99</v>
      </c>
      <c r="F95" s="12" t="str">
        <f>IF(D95="","",VLOOKUP(D95,T_MEASURES[],3,FALSE))</f>
        <v>Ready to go measures</v>
      </c>
      <c r="G95" s="12" t="str">
        <f>IF(D95="","",VLOOKUP(D95,T_MEASURES[],6,FALSE))</f>
        <v>Reinforcement in case of need of provision and organization of emergency services</v>
      </c>
      <c r="H95" s="31">
        <f>IF(D95="","",VLOOKUP(D95,T_MEASURES[],21,FALSE))</f>
        <v>2</v>
      </c>
      <c r="I95" s="31" t="str">
        <f>IF(D95="","",VLOOKUP(D95,T_MEASURES[],11,FALSE))</f>
        <v>€€</v>
      </c>
      <c r="J95" s="95" t="str">
        <f>IF(D95="","",MID(VLOOKUP(D95,T_MEASURES[],20,FALSE),FIND(". ",VLOOKUP(D95,T_MEASURES[],20,FALSE))+2,FIND(" (",VLOOKUP(D95,T_MEASURES[],20,FALSE))-FIND(".",VLOOKUP(D95,T_MEASURES[],20,FALSE))-2))</f>
        <v>High</v>
      </c>
      <c r="K95" s="102">
        <f>IF(D95="","",VLOOKUP(D95,T_MEASURES[],66,FALSE))</f>
        <v>175.00000098999999</v>
      </c>
      <c r="L95" s="43"/>
      <c r="M95" s="43"/>
      <c r="N95" s="43"/>
      <c r="O95" s="43"/>
      <c r="P95" s="43"/>
      <c r="Q95" s="43"/>
      <c r="R95" s="43"/>
      <c r="S95" s="48"/>
    </row>
    <row r="96" spans="1:19" ht="27.6" customHeight="1" x14ac:dyDescent="0.3">
      <c r="A96" s="43"/>
      <c r="B96" s="48"/>
      <c r="C96" s="43"/>
      <c r="D96" s="11">
        <f>IF( ISERROR(VLOOKUP(ROW(C96)-9,T_MEASURES[],2,FALSE)), "", ROW(C96)-9 )</f>
        <v>87</v>
      </c>
      <c r="E96" s="11" t="str">
        <f>IF(D96="","",VLOOKUP(D96,T_MEASURES[],2,FALSE))</f>
        <v>Med 71</v>
      </c>
      <c r="F96" s="16" t="str">
        <f>IF(D96="","",VLOOKUP(D96,T_MEASURES[],3,FALSE))</f>
        <v>Ready to go measures</v>
      </c>
      <c r="G96" s="16" t="str">
        <f>IF(D96="","",VLOOKUP(D96,T_MEASURES[],6,FALSE))</f>
        <v>Agreements with hoteliers and merchants to ensure free water supply in hot weather</v>
      </c>
      <c r="H96" s="30">
        <f>IF(D96="","",VLOOKUP(D96,T_MEASURES[],21,FALSE))</f>
        <v>1</v>
      </c>
      <c r="I96" s="30" t="str">
        <f>IF(D96="","",VLOOKUP(D96,T_MEASURES[],11,FALSE))</f>
        <v>€</v>
      </c>
      <c r="J96" s="94" t="str">
        <f>IF(D96="","",MID(VLOOKUP(D96,T_MEASURES[],20,FALSE),FIND(". ",VLOOKUP(D96,T_MEASURES[],20,FALSE))+2,FIND(" (",VLOOKUP(D96,T_MEASURES[],20,FALSE))-FIND(".",VLOOKUP(D96,T_MEASURES[],20,FALSE))-2))</f>
        <v>High</v>
      </c>
      <c r="K96" s="101">
        <f>IF(D96="","",VLOOKUP(D96,T_MEASURES[],66,FALSE))</f>
        <v>175.00000070999999</v>
      </c>
      <c r="L96" s="43"/>
      <c r="M96" s="43"/>
      <c r="N96" s="43"/>
      <c r="O96" s="43"/>
      <c r="P96" s="43"/>
      <c r="Q96" s="43"/>
      <c r="R96" s="43"/>
      <c r="S96" s="48"/>
    </row>
    <row r="97" spans="1:19" ht="27.6" customHeight="1" x14ac:dyDescent="0.3">
      <c r="A97" s="43"/>
      <c r="B97" s="48"/>
      <c r="C97" s="43"/>
      <c r="D97" s="17">
        <f>IF( ISERROR(VLOOKUP(ROW(C97)-9,T_MEASURES[],2,FALSE)), "", ROW(C97)-9 )</f>
        <v>88</v>
      </c>
      <c r="E97" s="17" t="str">
        <f>IF(D97="","",VLOOKUP(D97,T_MEASURES[],2,FALSE))</f>
        <v>Med 68</v>
      </c>
      <c r="F97" s="12" t="str">
        <f>IF(D97="","",VLOOKUP(D97,T_MEASURES[],3,FALSE))</f>
        <v>Ready to go measures</v>
      </c>
      <c r="G97" s="12" t="str">
        <f>IF(D97="","",VLOOKUP(D97,T_MEASURES[],6,FALSE))</f>
        <v>Supply free "Packs against heat waves" for citizens</v>
      </c>
      <c r="H97" s="31">
        <f>IF(D97="","",VLOOKUP(D97,T_MEASURES[],21,FALSE))</f>
        <v>1</v>
      </c>
      <c r="I97" s="31" t="str">
        <f>IF(D97="","",VLOOKUP(D97,T_MEASURES[],11,FALSE))</f>
        <v>€</v>
      </c>
      <c r="J97" s="95" t="str">
        <f>IF(D97="","",MID(VLOOKUP(D97,T_MEASURES[],20,FALSE),FIND(". ",VLOOKUP(D97,T_MEASURES[],20,FALSE))+2,FIND(" (",VLOOKUP(D97,T_MEASURES[],20,FALSE))-FIND(".",VLOOKUP(D97,T_MEASURES[],20,FALSE))-2))</f>
        <v>High</v>
      </c>
      <c r="K97" s="102">
        <f>IF(D97="","",VLOOKUP(D97,T_MEASURES[],66,FALSE))</f>
        <v>175.00000068</v>
      </c>
      <c r="L97" s="43"/>
      <c r="M97" s="43"/>
      <c r="N97" s="43"/>
      <c r="O97" s="43"/>
      <c r="P97" s="43"/>
      <c r="Q97" s="43"/>
      <c r="R97" s="43"/>
      <c r="S97" s="48"/>
    </row>
    <row r="98" spans="1:19" ht="27.6" customHeight="1" x14ac:dyDescent="0.3">
      <c r="A98" s="43"/>
      <c r="B98" s="48"/>
      <c r="C98" s="43"/>
      <c r="D98" s="11">
        <f>IF( ISERROR(VLOOKUP(ROW(C98)-9,T_MEASURES[],2,FALSE)), "", ROW(C98)-9 )</f>
        <v>89</v>
      </c>
      <c r="E98" s="11" t="str">
        <f>IF(D98="","",VLOOKUP(D98,T_MEASURES[],2,FALSE))</f>
        <v>Med 66</v>
      </c>
      <c r="F98" s="16" t="str">
        <f>IF(D98="","",VLOOKUP(D98,T_MEASURES[],3,FALSE))</f>
        <v>Ready to go measures</v>
      </c>
      <c r="G98" s="16" t="str">
        <f>IF(D98="","",VLOOKUP(D98,T_MEASURES[],6,FALSE))</f>
        <v>Temporary transfer of mobile air conditioners for the most vulnerable population groups through covenants and agreements</v>
      </c>
      <c r="H98" s="30">
        <f>IF(D98="","",VLOOKUP(D98,T_MEASURES[],21,FALSE))</f>
        <v>2</v>
      </c>
      <c r="I98" s="30" t="str">
        <f>IF(D98="","",VLOOKUP(D98,T_MEASURES[],11,FALSE))</f>
        <v>€</v>
      </c>
      <c r="J98" s="94" t="str">
        <f>IF(D98="","",MID(VLOOKUP(D98,T_MEASURES[],20,FALSE),FIND(". ",VLOOKUP(D98,T_MEASURES[],20,FALSE))+2,FIND(" (",VLOOKUP(D98,T_MEASURES[],20,FALSE))-FIND(".",VLOOKUP(D98,T_MEASURES[],20,FALSE))-2))</f>
        <v>High</v>
      </c>
      <c r="K98" s="101">
        <f>IF(D98="","",VLOOKUP(D98,T_MEASURES[],66,FALSE))</f>
        <v>175.00000066000001</v>
      </c>
      <c r="L98" s="43"/>
      <c r="M98" s="43"/>
      <c r="N98" s="43"/>
      <c r="O98" s="43"/>
      <c r="P98" s="43"/>
      <c r="Q98" s="43"/>
      <c r="R98" s="43"/>
      <c r="S98" s="48"/>
    </row>
    <row r="99" spans="1:19" ht="27.6" customHeight="1" x14ac:dyDescent="0.3">
      <c r="A99" s="43"/>
      <c r="B99" s="48"/>
      <c r="C99" s="43"/>
      <c r="D99" s="17">
        <f>IF( ISERROR(VLOOKUP(ROW(C99)-9,T_MEASURES[],2,FALSE)), "", ROW(C99)-9 )</f>
        <v>90</v>
      </c>
      <c r="E99" s="17" t="str">
        <f>IF(D99="","",VLOOKUP(D99,T_MEASURES[],2,FALSE))</f>
        <v>Med 46</v>
      </c>
      <c r="F99" s="12" t="str">
        <f>IF(D99="","",VLOOKUP(D99,T_MEASURES[],3,FALSE))</f>
        <v>Prevention</v>
      </c>
      <c r="G99" s="12" t="str">
        <f>IF(D99="","",VLOOKUP(D99,T_MEASURES[],6,FALSE))</f>
        <v>Identification and promotion of tourism resources and products adapted to climatic conditions during heat waves</v>
      </c>
      <c r="H99" s="31">
        <f>IF(D99="","",VLOOKUP(D99,T_MEASURES[],21,FALSE))</f>
        <v>1</v>
      </c>
      <c r="I99" s="31" t="str">
        <f>IF(D99="","",VLOOKUP(D99,T_MEASURES[],11,FALSE))</f>
        <v>€</v>
      </c>
      <c r="J99" s="95" t="str">
        <f>IF(D99="","",MID(VLOOKUP(D99,T_MEASURES[],20,FALSE),FIND(". ",VLOOKUP(D99,T_MEASURES[],20,FALSE))+2,FIND(" (",VLOOKUP(D99,T_MEASURES[],20,FALSE))-FIND(".",VLOOKUP(D99,T_MEASURES[],20,FALSE))-2))</f>
        <v>No Risk</v>
      </c>
      <c r="K99" s="102">
        <f>IF(D99="","",VLOOKUP(D99,T_MEASURES[],66,FALSE))</f>
        <v>175.00000046</v>
      </c>
      <c r="L99" s="43"/>
      <c r="M99" s="43"/>
      <c r="N99" s="43"/>
      <c r="O99" s="43"/>
      <c r="P99" s="43"/>
      <c r="Q99" s="43"/>
      <c r="R99" s="43"/>
      <c r="S99" s="48"/>
    </row>
    <row r="100" spans="1:19" ht="27.6" customHeight="1" x14ac:dyDescent="0.3">
      <c r="A100" s="43"/>
      <c r="B100" s="48"/>
      <c r="C100" s="43"/>
      <c r="D100" s="11">
        <f>IF( ISERROR(VLOOKUP(ROW(C100)-9,T_MEASURES[],2,FALSE)), "", ROW(C100)-9 )</f>
        <v>91</v>
      </c>
      <c r="E100" s="11" t="str">
        <f>IF(D100="","",VLOOKUP(D100,T_MEASURES[],2,FALSE))</f>
        <v>Med 38</v>
      </c>
      <c r="F100" s="16" t="str">
        <f>IF(D100="","",VLOOKUP(D100,T_MEASURES[],3,FALSE))</f>
        <v>Prevention</v>
      </c>
      <c r="G100" s="16" t="str">
        <f>IF(D100="","",VLOOKUP(D100,T_MEASURES[],6,FALSE))</f>
        <v>Characterization of public buildings and equipment: identification of heat accumulation points (direct sun at central times of the day, unprotected, top floors, etc.), and cooler points (shady areas, rooms with better ventilation, etc.)</v>
      </c>
      <c r="H100" s="30">
        <f>IF(D100="","",VLOOKUP(D100,T_MEASURES[],21,FALSE))</f>
        <v>4</v>
      </c>
      <c r="I100" s="30" t="str">
        <f>IF(D100="","",VLOOKUP(D100,T_MEASURES[],11,FALSE))</f>
        <v>€</v>
      </c>
      <c r="J100" s="94" t="str">
        <f>IF(D100="","",MID(VLOOKUP(D100,T_MEASURES[],20,FALSE),FIND(". ",VLOOKUP(D100,T_MEASURES[],20,FALSE))+2,FIND(" (",VLOOKUP(D100,T_MEASURES[],20,FALSE))-FIND(".",VLOOKUP(D100,T_MEASURES[],20,FALSE))-2))</f>
        <v>No Risk</v>
      </c>
      <c r="K100" s="101">
        <f>IF(D100="","",VLOOKUP(D100,T_MEASURES[],66,FALSE))</f>
        <v>175.00000038000002</v>
      </c>
      <c r="L100" s="43"/>
      <c r="M100" s="43"/>
      <c r="N100" s="43"/>
      <c r="O100" s="43"/>
      <c r="P100" s="43"/>
      <c r="Q100" s="43"/>
      <c r="R100" s="43"/>
      <c r="S100" s="48"/>
    </row>
    <row r="101" spans="1:19" ht="27.6" customHeight="1" x14ac:dyDescent="0.3">
      <c r="A101" s="43"/>
      <c r="B101" s="48"/>
      <c r="C101" s="43"/>
      <c r="D101" s="17">
        <f>IF( ISERROR(VLOOKUP(ROW(C101)-9,T_MEASURES[],2,FALSE)), "", ROW(C101)-9 )</f>
        <v>92</v>
      </c>
      <c r="E101" s="17" t="str">
        <f>IF(D101="","",VLOOKUP(D101,T_MEASURES[],2,FALSE))</f>
        <v>Med 37</v>
      </c>
      <c r="F101" s="12" t="str">
        <f>IF(D101="","",VLOOKUP(D101,T_MEASURES[],3,FALSE))</f>
        <v>Prevention</v>
      </c>
      <c r="G101" s="12" t="str">
        <f>IF(D101="","",VLOOKUP(D101,T_MEASURES[],6,FALSE))</f>
        <v>Identification of places to move activities that are normally organized abroad, nearby and accessible (libraries, museums, sports centers, etc.) to carry out alternative activities</v>
      </c>
      <c r="H101" s="31">
        <f>IF(D101="","",VLOOKUP(D101,T_MEASURES[],21,FALSE))</f>
        <v>2</v>
      </c>
      <c r="I101" s="31" t="str">
        <f>IF(D101="","",VLOOKUP(D101,T_MEASURES[],11,FALSE))</f>
        <v>€</v>
      </c>
      <c r="J101" s="95" t="str">
        <f>IF(D101="","",MID(VLOOKUP(D101,T_MEASURES[],20,FALSE),FIND(". ",VLOOKUP(D101,T_MEASURES[],20,FALSE))+2,FIND(" (",VLOOKUP(D101,T_MEASURES[],20,FALSE))-FIND(".",VLOOKUP(D101,T_MEASURES[],20,FALSE))-2))</f>
        <v>No Risk</v>
      </c>
      <c r="K101" s="102">
        <f>IF(D101="","",VLOOKUP(D101,T_MEASURES[],66,FALSE))</f>
        <v>175.00000037000001</v>
      </c>
      <c r="L101" s="43"/>
      <c r="M101" s="43"/>
      <c r="N101" s="43"/>
      <c r="O101" s="43"/>
      <c r="P101" s="43"/>
      <c r="Q101" s="43"/>
      <c r="R101" s="43"/>
      <c r="S101" s="48"/>
    </row>
    <row r="102" spans="1:19" ht="27.6" customHeight="1" x14ac:dyDescent="0.3">
      <c r="A102" s="43"/>
      <c r="B102" s="48"/>
      <c r="C102" s="43"/>
      <c r="D102" s="11">
        <f>IF( ISERROR(VLOOKUP(ROW(C102)-9,T_MEASURES[],2,FALSE)), "", ROW(C102)-9 )</f>
        <v>93</v>
      </c>
      <c r="E102" s="11" t="str">
        <f>IF(D102="","",VLOOKUP(D102,T_MEASURES[],2,FALSE))</f>
        <v>Med 35</v>
      </c>
      <c r="F102" s="16" t="str">
        <f>IF(D102="","",VLOOKUP(D102,T_MEASURES[],3,FALSE))</f>
        <v>Prevention</v>
      </c>
      <c r="G102" s="16" t="str">
        <f>IF(D102="","",VLOOKUP(D102,T_MEASURES[],6,FALSE))</f>
        <v>Specific diagnosis of the climatic situation of people living in segregated or substandard housing settlements</v>
      </c>
      <c r="H102" s="30">
        <f>IF(D102="","",VLOOKUP(D102,T_MEASURES[],21,FALSE))</f>
        <v>1</v>
      </c>
      <c r="I102" s="30" t="str">
        <f>IF(D102="","",VLOOKUP(D102,T_MEASURES[],11,FALSE))</f>
        <v>€</v>
      </c>
      <c r="J102" s="94" t="str">
        <f>IF(D102="","",MID(VLOOKUP(D102,T_MEASURES[],20,FALSE),FIND(". ",VLOOKUP(D102,T_MEASURES[],20,FALSE))+2,FIND(" (",VLOOKUP(D102,T_MEASURES[],20,FALSE))-FIND(".",VLOOKUP(D102,T_MEASURES[],20,FALSE))-2))</f>
        <v>No Risk</v>
      </c>
      <c r="K102" s="101">
        <f>IF(D102="","",VLOOKUP(D102,T_MEASURES[],66,FALSE))</f>
        <v>175.00000034999999</v>
      </c>
      <c r="L102" s="43"/>
      <c r="M102" s="43"/>
      <c r="N102" s="43"/>
      <c r="O102" s="43"/>
      <c r="P102" s="43"/>
      <c r="Q102" s="43"/>
      <c r="R102" s="43"/>
      <c r="S102" s="48"/>
    </row>
    <row r="103" spans="1:19" ht="27.6" customHeight="1" x14ac:dyDescent="0.3">
      <c r="A103" s="43"/>
      <c r="B103" s="48"/>
      <c r="C103" s="43"/>
      <c r="D103" s="17">
        <f>IF( ISERROR(VLOOKUP(ROW(C103)-9,T_MEASURES[],2,FALSE)), "", ROW(C103)-9 )</f>
        <v>94</v>
      </c>
      <c r="E103" s="17" t="str">
        <f>IF(D103="","",VLOOKUP(D103,T_MEASURES[],2,FALSE))</f>
        <v>Med 34</v>
      </c>
      <c r="F103" s="12" t="str">
        <f>IF(D103="","",VLOOKUP(D103,T_MEASURES[],3,FALSE))</f>
        <v>Prevention</v>
      </c>
      <c r="G103" s="12" t="str">
        <f>IF(D103="","",VLOOKUP(D103,T_MEASURES[],6,FALSE))</f>
        <v xml:space="preserve">Increase in public founding for energetic rehabilitation of housing for the most vulnerable population </v>
      </c>
      <c r="H103" s="31">
        <f>IF(D103="","",VLOOKUP(D103,T_MEASURES[],21,FALSE))</f>
        <v>2</v>
      </c>
      <c r="I103" s="31" t="str">
        <f>IF(D103="","",VLOOKUP(D103,T_MEASURES[],11,FALSE))</f>
        <v>€€€</v>
      </c>
      <c r="J103" s="95" t="str">
        <f>IF(D103="","",MID(VLOOKUP(D103,T_MEASURES[],20,FALSE),FIND(". ",VLOOKUP(D103,T_MEASURES[],20,FALSE))+2,FIND(" (",VLOOKUP(D103,T_MEASURES[],20,FALSE))-FIND(".",VLOOKUP(D103,T_MEASURES[],20,FALSE))-2))</f>
        <v>No Risk</v>
      </c>
      <c r="K103" s="102">
        <f>IF(D103="","",VLOOKUP(D103,T_MEASURES[],66,FALSE))</f>
        <v>175.00000034000001</v>
      </c>
      <c r="L103" s="43"/>
      <c r="M103" s="43"/>
      <c r="N103" s="43"/>
      <c r="O103" s="43"/>
      <c r="P103" s="43"/>
      <c r="Q103" s="43"/>
      <c r="R103" s="43"/>
      <c r="S103" s="48"/>
    </row>
    <row r="104" spans="1:19" ht="27.6" customHeight="1" x14ac:dyDescent="0.3">
      <c r="A104" s="43"/>
      <c r="B104" s="48"/>
      <c r="C104" s="43"/>
      <c r="D104" s="11">
        <f>IF( ISERROR(VLOOKUP(ROW(C104)-9,T_MEASURES[],2,FALSE)), "", ROW(C104)-9 )</f>
        <v>95</v>
      </c>
      <c r="E104" s="11" t="str">
        <f>IF(D104="","",VLOOKUP(D104,T_MEASURES[],2,FALSE))</f>
        <v>Med 32</v>
      </c>
      <c r="F104" s="16" t="str">
        <f>IF(D104="","",VLOOKUP(D104,T_MEASURES[],3,FALSE))</f>
        <v>Prevention</v>
      </c>
      <c r="G104" s="16" t="str">
        <f>IF(D104="","",VLOOKUP(D104,T_MEASURES[],6,FALSE))</f>
        <v>Increase of canopies at bus stops</v>
      </c>
      <c r="H104" s="30">
        <f>IF(D104="","",VLOOKUP(D104,T_MEASURES[],21,FALSE))</f>
        <v>1</v>
      </c>
      <c r="I104" s="30" t="str">
        <f>IF(D104="","",VLOOKUP(D104,T_MEASURES[],11,FALSE))</f>
        <v>€€</v>
      </c>
      <c r="J104" s="94" t="str">
        <f>IF(D104="","",MID(VLOOKUP(D104,T_MEASURES[],20,FALSE),FIND(". ",VLOOKUP(D104,T_MEASURES[],20,FALSE))+2,FIND(" (",VLOOKUP(D104,T_MEASURES[],20,FALSE))-FIND(".",VLOOKUP(D104,T_MEASURES[],20,FALSE))-2))</f>
        <v>No Risk</v>
      </c>
      <c r="K104" s="101">
        <f>IF(D104="","",VLOOKUP(D104,T_MEASURES[],66,FALSE))</f>
        <v>175.00000032</v>
      </c>
      <c r="L104" s="43"/>
      <c r="M104" s="43"/>
      <c r="N104" s="43"/>
      <c r="O104" s="43"/>
      <c r="P104" s="43"/>
      <c r="Q104" s="43"/>
      <c r="R104" s="43"/>
      <c r="S104" s="48"/>
    </row>
    <row r="105" spans="1:19" ht="27.6" customHeight="1" x14ac:dyDescent="0.3">
      <c r="A105" s="43"/>
      <c r="B105" s="48"/>
      <c r="C105" s="43"/>
      <c r="D105" s="17">
        <f>IF( ISERROR(VLOOKUP(ROW(C105)-9,T_MEASURES[],2,FALSE)), "", ROW(C105)-9 )</f>
        <v>96</v>
      </c>
      <c r="E105" s="17" t="str">
        <f>IF(D105="","",VLOOKUP(D105,T_MEASURES[],2,FALSE))</f>
        <v>Med 31</v>
      </c>
      <c r="F105" s="12" t="str">
        <f>IF(D105="","",VLOOKUP(D105,T_MEASURES[],3,FALSE))</f>
        <v>Prevention</v>
      </c>
      <c r="G105" s="12" t="str">
        <f>IF(D105="","",VLOOKUP(D105,T_MEASURES[],6,FALSE))</f>
        <v>Periodic checks on the functioning of air-conditioning equipment on public transport vehicles and transport interchanges</v>
      </c>
      <c r="H105" s="31">
        <f>IF(D105="","",VLOOKUP(D105,T_MEASURES[],21,FALSE))</f>
        <v>1</v>
      </c>
      <c r="I105" s="31" t="str">
        <f>IF(D105="","",VLOOKUP(D105,T_MEASURES[],11,FALSE))</f>
        <v>€</v>
      </c>
      <c r="J105" s="95" t="str">
        <f>IF(D105="","",MID(VLOOKUP(D105,T_MEASURES[],20,FALSE),FIND(". ",VLOOKUP(D105,T_MEASURES[],20,FALSE))+2,FIND(" (",VLOOKUP(D105,T_MEASURES[],20,FALSE))-FIND(".",VLOOKUP(D105,T_MEASURES[],20,FALSE))-2))</f>
        <v>No Risk</v>
      </c>
      <c r="K105" s="102">
        <f>IF(D105="","",VLOOKUP(D105,T_MEASURES[],66,FALSE))</f>
        <v>175.00000030999999</v>
      </c>
      <c r="L105" s="43"/>
      <c r="M105" s="43"/>
      <c r="N105" s="43"/>
      <c r="O105" s="43"/>
      <c r="P105" s="43"/>
      <c r="Q105" s="43"/>
      <c r="R105" s="43"/>
      <c r="S105" s="48"/>
    </row>
    <row r="106" spans="1:19" ht="27.6" customHeight="1" x14ac:dyDescent="0.3">
      <c r="A106" s="43"/>
      <c r="B106" s="48"/>
      <c r="C106" s="43"/>
      <c r="D106" s="11">
        <f>IF( ISERROR(VLOOKUP(ROW(C106)-9,T_MEASURES[],2,FALSE)), "", ROW(C106)-9 )</f>
        <v>97</v>
      </c>
      <c r="E106" s="11" t="str">
        <f>IF(D106="","",VLOOKUP(D106,T_MEASURES[],2,FALSE))</f>
        <v>Med 27</v>
      </c>
      <c r="F106" s="16" t="str">
        <f>IF(D106="","",VLOOKUP(D106,T_MEASURES[],3,FALSE))</f>
        <v>Prevention</v>
      </c>
      <c r="G106" s="16" t="str">
        <f>IF(D106="","",VLOOKUP(D106,T_MEASURES[],6,FALSE))</f>
        <v>Approval of ad hoc clause demanding the need to have an adjustment plan to extreme heat in tenders</v>
      </c>
      <c r="H106" s="30">
        <f>IF(D106="","",VLOOKUP(D106,T_MEASURES[],21,FALSE))</f>
        <v>1</v>
      </c>
      <c r="I106" s="30" t="str">
        <f>IF(D106="","",VLOOKUP(D106,T_MEASURES[],11,FALSE))</f>
        <v>€</v>
      </c>
      <c r="J106" s="94" t="str">
        <f>IF(D106="","",MID(VLOOKUP(D106,T_MEASURES[],20,FALSE),FIND(". ",VLOOKUP(D106,T_MEASURES[],20,FALSE))+2,FIND(" (",VLOOKUP(D106,T_MEASURES[],20,FALSE))-FIND(".",VLOOKUP(D106,T_MEASURES[],20,FALSE))-2))</f>
        <v>No Risk</v>
      </c>
      <c r="K106" s="101">
        <f>IF(D106="","",VLOOKUP(D106,T_MEASURES[],66,FALSE))</f>
        <v>175.00000026999999</v>
      </c>
      <c r="L106" s="43"/>
      <c r="M106" s="43"/>
      <c r="N106" s="43"/>
      <c r="O106" s="43"/>
      <c r="P106" s="43"/>
      <c r="Q106" s="43"/>
      <c r="R106" s="43"/>
      <c r="S106" s="48"/>
    </row>
    <row r="107" spans="1:19" ht="27.6" customHeight="1" x14ac:dyDescent="0.3">
      <c r="A107" s="43"/>
      <c r="B107" s="48"/>
      <c r="C107" s="43"/>
      <c r="D107" s="17">
        <f>IF( ISERROR(VLOOKUP(ROW(C107)-9,T_MEASURES[],2,FALSE)), "", ROW(C107)-9 )</f>
        <v>98</v>
      </c>
      <c r="E107" s="17" t="str">
        <f>IF(D107="","",VLOOKUP(D107,T_MEASURES[],2,FALSE))</f>
        <v>Med 25</v>
      </c>
      <c r="F107" s="12" t="str">
        <f>IF(D107="","",VLOOKUP(D107,T_MEASURES[],3,FALSE))</f>
        <v>Prevention</v>
      </c>
      <c r="G107" s="12" t="str">
        <f>IF(D107="","",VLOOKUP(D107,T_MEASURES[],6,FALSE))</f>
        <v>Installation of seasonal shading between building facades</v>
      </c>
      <c r="H107" s="31">
        <f>IF(D107="","",VLOOKUP(D107,T_MEASURES[],21,FALSE))</f>
        <v>1</v>
      </c>
      <c r="I107" s="31" t="str">
        <f>IF(D107="","",VLOOKUP(D107,T_MEASURES[],11,FALSE))</f>
        <v>€€€</v>
      </c>
      <c r="J107" s="95" t="str">
        <f>IF(D107="","",MID(VLOOKUP(D107,T_MEASURES[],20,FALSE),FIND(". ",VLOOKUP(D107,T_MEASURES[],20,FALSE))+2,FIND(" (",VLOOKUP(D107,T_MEASURES[],20,FALSE))-FIND(".",VLOOKUP(D107,T_MEASURES[],20,FALSE))-2))</f>
        <v>Low</v>
      </c>
      <c r="K107" s="102">
        <f>IF(D107="","",VLOOKUP(D107,T_MEASURES[],66,FALSE))</f>
        <v>175.00000025</v>
      </c>
      <c r="L107" s="43"/>
      <c r="M107" s="43"/>
      <c r="N107" s="43"/>
      <c r="O107" s="43"/>
      <c r="P107" s="43"/>
      <c r="Q107" s="43"/>
      <c r="R107" s="43"/>
      <c r="S107" s="48"/>
    </row>
    <row r="108" spans="1:19" ht="27.6" customHeight="1" x14ac:dyDescent="0.3">
      <c r="A108" s="43"/>
      <c r="B108" s="48"/>
      <c r="C108" s="43"/>
      <c r="D108" s="11">
        <f>IF( ISERROR(VLOOKUP(ROW(C108)-9,T_MEASURES[],2,FALSE)), "", ROW(C108)-9 )</f>
        <v>99</v>
      </c>
      <c r="E108" s="11" t="str">
        <f>IF(D108="","",VLOOKUP(D108,T_MEASURES[],2,FALSE))</f>
        <v>Med 24</v>
      </c>
      <c r="F108" s="16" t="str">
        <f>IF(D108="","",VLOOKUP(D108,T_MEASURES[],3,FALSE))</f>
        <v>Prevention</v>
      </c>
      <c r="G108" s="16" t="str">
        <f>IF(D108="","",VLOOKUP(D108,T_MEASURES[],6,FALSE))</f>
        <v>Renaturalization of schoolyards</v>
      </c>
      <c r="H108" s="30">
        <f>IF(D108="","",VLOOKUP(D108,T_MEASURES[],21,FALSE))</f>
        <v>2</v>
      </c>
      <c r="I108" s="30" t="str">
        <f>IF(D108="","",VLOOKUP(D108,T_MEASURES[],11,FALSE))</f>
        <v>€€€</v>
      </c>
      <c r="J108" s="94" t="str">
        <f>IF(D108="","",MID(VLOOKUP(D108,T_MEASURES[],20,FALSE),FIND(". ",VLOOKUP(D108,T_MEASURES[],20,FALSE))+2,FIND(" (",VLOOKUP(D108,T_MEASURES[],20,FALSE))-FIND(".",VLOOKUP(D108,T_MEASURES[],20,FALSE))-2))</f>
        <v>No Risk</v>
      </c>
      <c r="K108" s="101">
        <f>IF(D108="","",VLOOKUP(D108,T_MEASURES[],66,FALSE))</f>
        <v>175.00000023999999</v>
      </c>
      <c r="L108" s="43"/>
      <c r="M108" s="43"/>
      <c r="N108" s="43"/>
      <c r="O108" s="43"/>
      <c r="P108" s="43"/>
      <c r="Q108" s="43"/>
      <c r="R108" s="43"/>
      <c r="S108" s="48"/>
    </row>
    <row r="109" spans="1:19" ht="27.6" customHeight="1" x14ac:dyDescent="0.3">
      <c r="A109" s="43"/>
      <c r="B109" s="48"/>
      <c r="C109" s="43"/>
      <c r="D109" s="17">
        <f>IF( ISERROR(VLOOKUP(ROW(C109)-9,T_MEASURES[],2,FALSE)), "", ROW(C109)-9 )</f>
        <v>100</v>
      </c>
      <c r="E109" s="17" t="str">
        <f>IF(D109="","",VLOOKUP(D109,T_MEASURES[],2,FALSE))</f>
        <v>Med 21</v>
      </c>
      <c r="F109" s="12" t="str">
        <f>IF(D109="","",VLOOKUP(D109,T_MEASURES[],3,FALSE))</f>
        <v>Prevention</v>
      </c>
      <c r="G109" s="12" t="str">
        <f>IF(D109="","",VLOOKUP(D109,T_MEASURES[],6,FALSE))</f>
        <v>Installation of reflective flooring, to reduce the surface temperature of the soil and the environment</v>
      </c>
      <c r="H109" s="31">
        <f>IF(D109="","",VLOOKUP(D109,T_MEASURES[],21,FALSE))</f>
        <v>1</v>
      </c>
      <c r="I109" s="31" t="str">
        <f>IF(D109="","",VLOOKUP(D109,T_MEASURES[],11,FALSE))</f>
        <v>€€€</v>
      </c>
      <c r="J109" s="95" t="str">
        <f>IF(D109="","",MID(VLOOKUP(D109,T_MEASURES[],20,FALSE),FIND(". ",VLOOKUP(D109,T_MEASURES[],20,FALSE))+2,FIND(" (",VLOOKUP(D109,T_MEASURES[],20,FALSE))-FIND(".",VLOOKUP(D109,T_MEASURES[],20,FALSE))-2))</f>
        <v>No Risk</v>
      </c>
      <c r="K109" s="102">
        <f>IF(D109="","",VLOOKUP(D109,T_MEASURES[],66,FALSE))</f>
        <v>175.00000021</v>
      </c>
      <c r="L109" s="43"/>
      <c r="M109" s="43"/>
      <c r="N109" s="43"/>
      <c r="O109" s="43"/>
      <c r="P109" s="43"/>
      <c r="Q109" s="43"/>
      <c r="R109" s="43"/>
      <c r="S109" s="48"/>
    </row>
    <row r="110" spans="1:19" ht="27.6" customHeight="1" x14ac:dyDescent="0.3">
      <c r="A110" s="43"/>
      <c r="B110" s="48"/>
      <c r="C110" s="43"/>
      <c r="D110" s="11">
        <f>IF( ISERROR(VLOOKUP(ROW(C110)-9,T_MEASURES[],2,FALSE)), "", ROW(C110)-9 )</f>
        <v>101</v>
      </c>
      <c r="E110" s="11" t="str">
        <f>IF(D110="","",VLOOKUP(D110,T_MEASURES[],2,FALSE))</f>
        <v>Med 19</v>
      </c>
      <c r="F110" s="16" t="str">
        <f>IF(D110="","",VLOOKUP(D110,T_MEASURES[],3,FALSE))</f>
        <v>Prevention</v>
      </c>
      <c r="G110" s="16" t="str">
        <f>IF(D110="","",VLOOKUP(D110,T_MEASURES[],6,FALSE))</f>
        <v>Transformation of abandoned plots into green areas in neighborhoods most vulnerable to heat waves</v>
      </c>
      <c r="H110" s="30">
        <f>IF(D110="","",VLOOKUP(D110,T_MEASURES[],21,FALSE))</f>
        <v>2</v>
      </c>
      <c r="I110" s="30" t="str">
        <f>IF(D110="","",VLOOKUP(D110,T_MEASURES[],11,FALSE))</f>
        <v>€€€</v>
      </c>
      <c r="J110" s="94" t="str">
        <f>IF(D110="","",MID(VLOOKUP(D110,T_MEASURES[],20,FALSE),FIND(". ",VLOOKUP(D110,T_MEASURES[],20,FALSE))+2,FIND(" (",VLOOKUP(D110,T_MEASURES[],20,FALSE))-FIND(".",VLOOKUP(D110,T_MEASURES[],20,FALSE))-2))</f>
        <v>No Risk</v>
      </c>
      <c r="K110" s="101">
        <f>IF(D110="","",VLOOKUP(D110,T_MEASURES[],66,FALSE))</f>
        <v>175.00000018999998</v>
      </c>
      <c r="L110" s="43"/>
      <c r="M110" s="43"/>
      <c r="N110" s="43"/>
      <c r="O110" s="43"/>
      <c r="P110" s="43"/>
      <c r="Q110" s="43"/>
      <c r="R110" s="43"/>
      <c r="S110" s="48"/>
    </row>
    <row r="111" spans="1:19" ht="27.6" customHeight="1" x14ac:dyDescent="0.3">
      <c r="A111" s="43"/>
      <c r="B111" s="48"/>
      <c r="C111" s="43"/>
      <c r="D111" s="17">
        <f>IF( ISERROR(VLOOKUP(ROW(C111)-9,T_MEASURES[],2,FALSE)), "", ROW(C111)-9 )</f>
        <v>102</v>
      </c>
      <c r="E111" s="17" t="str">
        <f>IF(D111="","",VLOOKUP(D111,T_MEASURES[],2,FALSE))</f>
        <v>Med 17</v>
      </c>
      <c r="F111" s="12" t="str">
        <f>IF(D111="","",VLOOKUP(D111,T_MEASURES[],3,FALSE))</f>
        <v>Prevention</v>
      </c>
      <c r="G111" s="12" t="str">
        <f>IF(D111="","",VLOOKUP(D111,T_MEASURES[],6,FALSE))</f>
        <v>Urban tree plantation to increase tree cover in alignments of streets devoid of shade</v>
      </c>
      <c r="H111" s="31">
        <f>IF(D111="","",VLOOKUP(D111,T_MEASURES[],21,FALSE))</f>
        <v>1</v>
      </c>
      <c r="I111" s="31" t="str">
        <f>IF(D111="","",VLOOKUP(D111,T_MEASURES[],11,FALSE))</f>
        <v>€€€</v>
      </c>
      <c r="J111" s="95" t="str">
        <f>IF(D111="","",MID(VLOOKUP(D111,T_MEASURES[],20,FALSE),FIND(". ",VLOOKUP(D111,T_MEASURES[],20,FALSE))+2,FIND(" (",VLOOKUP(D111,T_MEASURES[],20,FALSE))-FIND(".",VLOOKUP(D111,T_MEASURES[],20,FALSE))-2))</f>
        <v>No Risk</v>
      </c>
      <c r="K111" s="102">
        <f>IF(D111="","",VLOOKUP(D111,T_MEASURES[],66,FALSE))</f>
        <v>175.00000016999999</v>
      </c>
      <c r="L111" s="43"/>
      <c r="M111" s="43"/>
      <c r="N111" s="43"/>
      <c r="O111" s="43"/>
      <c r="P111" s="43"/>
      <c r="Q111" s="43"/>
      <c r="R111" s="43"/>
      <c r="S111" s="48"/>
    </row>
    <row r="112" spans="1:19" ht="27.6" customHeight="1" x14ac:dyDescent="0.3">
      <c r="A112" s="43"/>
      <c r="B112" s="48"/>
      <c r="C112" s="43"/>
      <c r="D112" s="11">
        <f>IF( ISERROR(VLOOKUP(ROW(C112)-9,T_MEASURES[],2,FALSE)), "", ROW(C112)-9 )</f>
        <v>103</v>
      </c>
      <c r="E112" s="11" t="str">
        <f>IF(D112="","",VLOOKUP(D112,T_MEASURES[],2,FALSE))</f>
        <v>Med 12</v>
      </c>
      <c r="F112" s="16" t="str">
        <f>IF(D112="","",VLOOKUP(D112,T_MEASURES[],3,FALSE))</f>
        <v>Prevention</v>
      </c>
      <c r="G112" s="16" t="str">
        <f>IF(D112="","",VLOOKUP(D112,T_MEASURES[],6,FALSE))</f>
        <v>White repainting on roofs of nurseries, schools, libraries and public sports centers</v>
      </c>
      <c r="H112" s="30">
        <f>IF(D112="","",VLOOKUP(D112,T_MEASURES[],21,FALSE))</f>
        <v>3</v>
      </c>
      <c r="I112" s="30" t="str">
        <f>IF(D112="","",VLOOKUP(D112,T_MEASURES[],11,FALSE))</f>
        <v>€€</v>
      </c>
      <c r="J112" s="94" t="str">
        <f>IF(D112="","",MID(VLOOKUP(D112,T_MEASURES[],20,FALSE),FIND(". ",VLOOKUP(D112,T_MEASURES[],20,FALSE))+2,FIND(" (",VLOOKUP(D112,T_MEASURES[],20,FALSE))-FIND(".",VLOOKUP(D112,T_MEASURES[],20,FALSE))-2))</f>
        <v>No Risk</v>
      </c>
      <c r="K112" s="101">
        <f>IF(D112="","",VLOOKUP(D112,T_MEASURES[],66,FALSE))</f>
        <v>175.00000012000001</v>
      </c>
      <c r="L112" s="43"/>
      <c r="M112" s="43"/>
      <c r="N112" s="43"/>
      <c r="O112" s="43"/>
      <c r="P112" s="43"/>
      <c r="Q112" s="43"/>
      <c r="R112" s="43"/>
      <c r="S112" s="48"/>
    </row>
    <row r="113" spans="1:19" ht="27.6" customHeight="1" x14ac:dyDescent="0.3">
      <c r="A113" s="43"/>
      <c r="B113" s="48"/>
      <c r="C113" s="43"/>
      <c r="D113" s="17">
        <f>IF( ISERROR(VLOOKUP(ROW(C113)-9,T_MEASURES[],2,FALSE)), "", ROW(C113)-9 )</f>
        <v>104</v>
      </c>
      <c r="E113" s="17" t="str">
        <f>IF(D113="","",VLOOKUP(D113,T_MEASURES[],2,FALSE))</f>
        <v>Med 5</v>
      </c>
      <c r="F113" s="12" t="str">
        <f>IF(D113="","",VLOOKUP(D113,T_MEASURES[],3,FALSE))</f>
        <v>Prevention</v>
      </c>
      <c r="G113" s="12" t="str">
        <f>IF(D113="","",VLOOKUP(D113,T_MEASURES[],6,FALSE))</f>
        <v>Elaboration of a Plan of Shadows and Wooded Areas</v>
      </c>
      <c r="H113" s="31">
        <f>IF(D113="","",VLOOKUP(D113,T_MEASURES[],21,FALSE))</f>
        <v>2</v>
      </c>
      <c r="I113" s="31" t="str">
        <f>IF(D113="","",VLOOKUP(D113,T_MEASURES[],11,FALSE))</f>
        <v>€</v>
      </c>
      <c r="J113" s="95" t="str">
        <f>IF(D113="","",MID(VLOOKUP(D113,T_MEASURES[],20,FALSE),FIND(". ",VLOOKUP(D113,T_MEASURES[],20,FALSE))+2,FIND(" (",VLOOKUP(D113,T_MEASURES[],20,FALSE))-FIND(".",VLOOKUP(D113,T_MEASURES[],20,FALSE))-2))</f>
        <v>No Risk</v>
      </c>
      <c r="K113" s="102">
        <f>IF(D113="","",VLOOKUP(D113,T_MEASURES[],66,FALSE))</f>
        <v>175.00000005000001</v>
      </c>
      <c r="L113" s="43"/>
      <c r="M113" s="43"/>
      <c r="N113" s="43"/>
      <c r="O113" s="43"/>
      <c r="P113" s="43"/>
      <c r="Q113" s="43"/>
      <c r="R113" s="43"/>
      <c r="S113" s="48"/>
    </row>
    <row r="114" spans="1:19" ht="27.6" customHeight="1" x14ac:dyDescent="0.3">
      <c r="A114" s="43"/>
      <c r="B114" s="48"/>
      <c r="C114" s="43"/>
      <c r="D114" s="11">
        <f>IF( ISERROR(VLOOKUP(ROW(C114)-9,T_MEASURES[],2,FALSE)), "", ROW(C114)-9 )</f>
        <v>105</v>
      </c>
      <c r="E114" s="11" t="str">
        <f>IF(D114="","",VLOOKUP(D114,T_MEASURES[],2,FALSE))</f>
        <v>Med 3</v>
      </c>
      <c r="F114" s="16" t="str">
        <f>IF(D114="","",VLOOKUP(D114,T_MEASURES[],3,FALSE))</f>
        <v>Prevention</v>
      </c>
      <c r="G114" s="16" t="str">
        <f>IF(D114="","",VLOOKUP(D114,T_MEASURES[],6,FALSE))</f>
        <v>Installation of sun protection elements (sunshades and blinds) on facades of schools exposed to the sun, and of pergolas and canopies on exposed surfaces</v>
      </c>
      <c r="H114" s="30">
        <f>IF(D114="","",VLOOKUP(D114,T_MEASURES[],21,FALSE))</f>
        <v>1</v>
      </c>
      <c r="I114" s="30" t="str">
        <f>IF(D114="","",VLOOKUP(D114,T_MEASURES[],11,FALSE))</f>
        <v>€€</v>
      </c>
      <c r="J114" s="94" t="str">
        <f>IF(D114="","",MID(VLOOKUP(D114,T_MEASURES[],20,FALSE),FIND(". ",VLOOKUP(D114,T_MEASURES[],20,FALSE))+2,FIND(" (",VLOOKUP(D114,T_MEASURES[],20,FALSE))-FIND(".",VLOOKUP(D114,T_MEASURES[],20,FALSE))-2))</f>
        <v>Low</v>
      </c>
      <c r="K114" s="101">
        <f>IF(D114="","",VLOOKUP(D114,T_MEASURES[],66,FALSE))</f>
        <v>175.00000003</v>
      </c>
      <c r="L114" s="43"/>
      <c r="M114" s="43"/>
      <c r="N114" s="43"/>
      <c r="O114" s="43"/>
      <c r="P114" s="43"/>
      <c r="Q114" s="43"/>
      <c r="R114" s="43"/>
      <c r="S114" s="48"/>
    </row>
    <row r="115" spans="1:19" ht="27.6" customHeight="1" x14ac:dyDescent="0.3">
      <c r="A115" s="43"/>
      <c r="B115" s="48"/>
      <c r="C115" s="43"/>
      <c r="D115" s="17">
        <f>IF( ISERROR(VLOOKUP(ROW(C115)-9,T_MEASURES[],2,FALSE)), "", ROW(C115)-9 )</f>
        <v>106</v>
      </c>
      <c r="E115" s="17" t="str">
        <f>IF(D115="","",VLOOKUP(D115,T_MEASURES[],2,FALSE))</f>
        <v>Med 1</v>
      </c>
      <c r="F115" s="12" t="str">
        <f>IF(D115="","",VLOOKUP(D115,T_MEASURES[],3,FALSE))</f>
        <v>Prevention</v>
      </c>
      <c r="G115" s="12" t="str">
        <f>IF(D115="","",VLOOKUP(D115,T_MEASURES[],6,FALSE))</f>
        <v>Establishment of calendars of tourist activities and regulation of schedules appropriate to the season of the year, in order to avoid risks to the health of tourists</v>
      </c>
      <c r="H115" s="31">
        <f>IF(D115="","",VLOOKUP(D115,T_MEASURES[],21,FALSE))</f>
        <v>1</v>
      </c>
      <c r="I115" s="31" t="str">
        <f>IF(D115="","",VLOOKUP(D115,T_MEASURES[],11,FALSE))</f>
        <v>€</v>
      </c>
      <c r="J115" s="95" t="str">
        <f>IF(D115="","",MID(VLOOKUP(D115,T_MEASURES[],20,FALSE),FIND(". ",VLOOKUP(D115,T_MEASURES[],20,FALSE))+2,FIND(" (",VLOOKUP(D115,T_MEASURES[],20,FALSE))-FIND(".",VLOOKUP(D115,T_MEASURES[],20,FALSE))-2))</f>
        <v>Low</v>
      </c>
      <c r="K115" s="102">
        <f>IF(D115="","",VLOOKUP(D115,T_MEASURES[],66,FALSE))</f>
        <v>175.00000001000001</v>
      </c>
      <c r="L115" s="43"/>
      <c r="M115" s="43"/>
      <c r="N115" s="43"/>
      <c r="O115" s="43"/>
      <c r="P115" s="43"/>
      <c r="Q115" s="43"/>
      <c r="R115" s="43"/>
      <c r="S115" s="48"/>
    </row>
    <row r="116" spans="1:19" ht="27.6" customHeight="1" x14ac:dyDescent="0.3">
      <c r="A116" s="43"/>
      <c r="B116" s="48"/>
      <c r="C116" s="43"/>
      <c r="D116" s="11">
        <f>IF( ISERROR(VLOOKUP(ROW(C116)-9,T_MEASURES[],2,FALSE)), "", ROW(C116)-9 )</f>
        <v>107</v>
      </c>
      <c r="E116" s="11" t="str">
        <f>IF(D116="","",VLOOKUP(D116,T_MEASURES[],2,FALSE))</f>
        <v>Med 141</v>
      </c>
      <c r="F116" s="16" t="str">
        <f>IF(D116="","",VLOOKUP(D116,T_MEASURES[],3,FALSE))</f>
        <v>Communication and awareness raising</v>
      </c>
      <c r="G116" s="16" t="str">
        <f>IF(D116="","",VLOOKUP(D116,T_MEASURES[],6,FALSE))</f>
        <v>Dissemination of the subscription to the ‘Temperature and Risk Level Subscription Service’, through which they can receive an email and/or SMS with daily information on temperatures and the level of health risk in those provinces that are of interest to them</v>
      </c>
      <c r="H116" s="30">
        <f>IF(D116="","",VLOOKUP(D116,T_MEASURES[],21,FALSE))</f>
        <v>1</v>
      </c>
      <c r="I116" s="30" t="str">
        <f>IF(D116="","",VLOOKUP(D116,T_MEASURES[],11,FALSE))</f>
        <v>€</v>
      </c>
      <c r="J116" s="94" t="str">
        <f>IF(D116="","",MID(VLOOKUP(D116,T_MEASURES[],20,FALSE),FIND(". ",VLOOKUP(D116,T_MEASURES[],20,FALSE))+2,FIND(" (",VLOOKUP(D116,T_MEASURES[],20,FALSE))-FIND(".",VLOOKUP(D116,T_MEASURES[],20,FALSE))-2))</f>
        <v>High</v>
      </c>
      <c r="K116" s="101">
        <f>IF(D116="","",VLOOKUP(D116,T_MEASURES[],66,FALSE))</f>
        <v>162.50000141000001</v>
      </c>
      <c r="L116" s="43"/>
      <c r="M116" s="43"/>
      <c r="N116" s="43"/>
      <c r="O116" s="43"/>
      <c r="P116" s="43"/>
      <c r="Q116" s="43"/>
      <c r="R116" s="43"/>
      <c r="S116" s="48"/>
    </row>
    <row r="117" spans="1:19" ht="27.6" customHeight="1" x14ac:dyDescent="0.3">
      <c r="A117" s="43"/>
      <c r="B117" s="48"/>
      <c r="C117" s="43"/>
      <c r="D117" s="17">
        <f>IF( ISERROR(VLOOKUP(ROW(C117)-9,T_MEASURES[],2,FALSE)), "", ROW(C117)-9 )</f>
        <v>108</v>
      </c>
      <c r="E117" s="17" t="str">
        <f>IF(D117="","",VLOOKUP(D117,T_MEASURES[],2,FALSE))</f>
        <v>Med 127</v>
      </c>
      <c r="F117" s="12" t="str">
        <f>IF(D117="","",VLOOKUP(D117,T_MEASURES[],3,FALSE))</f>
        <v>Communication and awareness raising</v>
      </c>
      <c r="G117" s="12" t="str">
        <f>IF(D117="","",VLOOKUP(D117,T_MEASURES[],6,FALSE))</f>
        <v>Informative talks to companies to prevent occupational risks arising from heat with the aim that both companies and workers know the effects of heat on their body, as well as measures and recommendations to mitigate them</v>
      </c>
      <c r="H117" s="31">
        <f>IF(D117="","",VLOOKUP(D117,T_MEASURES[],21,FALSE))</f>
        <v>1</v>
      </c>
      <c r="I117" s="31" t="str">
        <f>IF(D117="","",VLOOKUP(D117,T_MEASURES[],11,FALSE))</f>
        <v>€</v>
      </c>
      <c r="J117" s="95" t="str">
        <f>IF(D117="","",MID(VLOOKUP(D117,T_MEASURES[],20,FALSE),FIND(". ",VLOOKUP(D117,T_MEASURES[],20,FALSE))+2,FIND(" (",VLOOKUP(D117,T_MEASURES[],20,FALSE))-FIND(".",VLOOKUP(D117,T_MEASURES[],20,FALSE))-2))</f>
        <v>High</v>
      </c>
      <c r="K117" s="102">
        <f>IF(D117="","",VLOOKUP(D117,T_MEASURES[],66,FALSE))</f>
        <v>162.50000126999998</v>
      </c>
      <c r="L117" s="43"/>
      <c r="M117" s="43"/>
      <c r="N117" s="43"/>
      <c r="O117" s="43"/>
      <c r="P117" s="43"/>
      <c r="Q117" s="43"/>
      <c r="R117" s="43"/>
      <c r="S117" s="48"/>
    </row>
    <row r="118" spans="1:19" ht="27.6" customHeight="1" x14ac:dyDescent="0.3">
      <c r="A118" s="43"/>
      <c r="B118" s="48"/>
      <c r="C118" s="43"/>
      <c r="D118" s="11">
        <f>IF( ISERROR(VLOOKUP(ROW(C118)-9,T_MEASURES[],2,FALSE)), "", ROW(C118)-9 )</f>
        <v>109</v>
      </c>
      <c r="E118" s="11" t="str">
        <f>IF(D118="","",VLOOKUP(D118,T_MEASURES[],2,FALSE))</f>
        <v>Med 104</v>
      </c>
      <c r="F118" s="16" t="str">
        <f>IF(D118="","",VLOOKUP(D118,T_MEASURES[],3,FALSE))</f>
        <v>Ready to go measures</v>
      </c>
      <c r="G118" s="16" t="str">
        <f>IF(D118="","",VLOOKUP(D118,T_MEASURES[],6,FALSE))</f>
        <v>Enabling, in outdoor work, shady areas for the development of tasks and spaces conditioned for the rest of the staff, for example, cabins with air conditioning</v>
      </c>
      <c r="H118" s="30">
        <f>IF(D118="","",VLOOKUP(D118,T_MEASURES[],21,FALSE))</f>
        <v>1</v>
      </c>
      <c r="I118" s="30" t="str">
        <f>IF(D118="","",VLOOKUP(D118,T_MEASURES[],11,FALSE))</f>
        <v>€€</v>
      </c>
      <c r="J118" s="94" t="str">
        <f>IF(D118="","",MID(VLOOKUP(D118,T_MEASURES[],20,FALSE),FIND(". ",VLOOKUP(D118,T_MEASURES[],20,FALSE))+2,FIND(" (",VLOOKUP(D118,T_MEASURES[],20,FALSE))-FIND(".",VLOOKUP(D118,T_MEASURES[],20,FALSE))-2))</f>
        <v>High</v>
      </c>
      <c r="K118" s="101">
        <f>IF(D118="","",VLOOKUP(D118,T_MEASURES[],66,FALSE))</f>
        <v>162.50000104</v>
      </c>
      <c r="L118" s="43"/>
      <c r="M118" s="43"/>
      <c r="N118" s="43"/>
      <c r="O118" s="43"/>
      <c r="P118" s="43"/>
      <c r="Q118" s="43"/>
      <c r="R118" s="43"/>
      <c r="S118" s="48"/>
    </row>
    <row r="119" spans="1:19" ht="27.6" customHeight="1" x14ac:dyDescent="0.3">
      <c r="A119" s="43"/>
      <c r="B119" s="48"/>
      <c r="C119" s="43"/>
      <c r="D119" s="17">
        <f>IF( ISERROR(VLOOKUP(ROW(C119)-9,T_MEASURES[],2,FALSE)), "", ROW(C119)-9 )</f>
        <v>110</v>
      </c>
      <c r="E119" s="17" t="str">
        <f>IF(D119="","",VLOOKUP(D119,T_MEASURES[],2,FALSE))</f>
        <v>Med 77</v>
      </c>
      <c r="F119" s="12" t="str">
        <f>IF(D119="","",VLOOKUP(D119,T_MEASURES[],3,FALSE))</f>
        <v>Ready to go measures</v>
      </c>
      <c r="G119" s="12" t="str">
        <f>IF(D119="","",VLOOKUP(D119,T_MEASURES[],6,FALSE))</f>
        <v xml:space="preserve">Placement of portable personal refrigeration measures (fountains) in public spaces </v>
      </c>
      <c r="H119" s="31">
        <f>IF(D119="","",VLOOKUP(D119,T_MEASURES[],21,FALSE))</f>
        <v>1</v>
      </c>
      <c r="I119" s="31" t="str">
        <f>IF(D119="","",VLOOKUP(D119,T_MEASURES[],11,FALSE))</f>
        <v>€€</v>
      </c>
      <c r="J119" s="95" t="str">
        <f>IF(D119="","",MID(VLOOKUP(D119,T_MEASURES[],20,FALSE),FIND(". ",VLOOKUP(D119,T_MEASURES[],20,FALSE))+2,FIND(" (",VLOOKUP(D119,T_MEASURES[],20,FALSE))-FIND(".",VLOOKUP(D119,T_MEASURES[],20,FALSE))-2))</f>
        <v>High</v>
      </c>
      <c r="K119" s="102">
        <f>IF(D119="","",VLOOKUP(D119,T_MEASURES[],66,FALSE))</f>
        <v>162.50000076999999</v>
      </c>
      <c r="L119" s="43"/>
      <c r="M119" s="43"/>
      <c r="N119" s="43"/>
      <c r="O119" s="43"/>
      <c r="P119" s="43"/>
      <c r="Q119" s="43"/>
      <c r="R119" s="43"/>
      <c r="S119" s="48"/>
    </row>
    <row r="120" spans="1:19" ht="27.6" customHeight="1" x14ac:dyDescent="0.3">
      <c r="A120" s="43"/>
      <c r="B120" s="48"/>
      <c r="C120" s="43"/>
      <c r="D120" s="11">
        <f>IF( ISERROR(VLOOKUP(ROW(C120)-9,T_MEASURES[],2,FALSE)), "", ROW(C120)-9 )</f>
        <v>111</v>
      </c>
      <c r="E120" s="11" t="str">
        <f>IF(D120="","",VLOOKUP(D120,T_MEASURES[],2,FALSE))</f>
        <v>Med 63</v>
      </c>
      <c r="F120" s="16" t="str">
        <f>IF(D120="","",VLOOKUP(D120,T_MEASURES[],3,FALSE))</f>
        <v>Ready to go measures</v>
      </c>
      <c r="G120" s="16" t="str">
        <f>IF(D120="","",VLOOKUP(D120,T_MEASURES[],6,FALSE))</f>
        <v>Increase frequency of public transport for reduced waiting times during heat waves</v>
      </c>
      <c r="H120" s="30">
        <f>IF(D120="","",VLOOKUP(D120,T_MEASURES[],21,FALSE))</f>
        <v>1</v>
      </c>
      <c r="I120" s="30" t="str">
        <f>IF(D120="","",VLOOKUP(D120,T_MEASURES[],11,FALSE))</f>
        <v>€</v>
      </c>
      <c r="J120" s="94" t="str">
        <f>IF(D120="","",MID(VLOOKUP(D120,T_MEASURES[],20,FALSE),FIND(". ",VLOOKUP(D120,T_MEASURES[],20,FALSE))+2,FIND(" (",VLOOKUP(D120,T_MEASURES[],20,FALSE))-FIND(".",VLOOKUP(D120,T_MEASURES[],20,FALSE))-2))</f>
        <v>High</v>
      </c>
      <c r="K120" s="101">
        <f>IF(D120="","",VLOOKUP(D120,T_MEASURES[],66,FALSE))</f>
        <v>162.50000063000002</v>
      </c>
      <c r="L120" s="43"/>
      <c r="M120" s="43"/>
      <c r="N120" s="43"/>
      <c r="O120" s="43"/>
      <c r="P120" s="43"/>
      <c r="Q120" s="43"/>
      <c r="R120" s="43"/>
      <c r="S120" s="48"/>
    </row>
    <row r="121" spans="1:19" ht="27.6" customHeight="1" x14ac:dyDescent="0.3">
      <c r="A121" s="43"/>
      <c r="B121" s="48"/>
      <c r="C121" s="43"/>
      <c r="D121" s="17">
        <f>IF( ISERROR(VLOOKUP(ROW(C121)-9,T_MEASURES[],2,FALSE)), "", ROW(C121)-9 )</f>
        <v>112</v>
      </c>
      <c r="E121" s="17" t="str">
        <f>IF(D121="","",VLOOKUP(D121,T_MEASURES[],2,FALSE))</f>
        <v>Med 50</v>
      </c>
      <c r="F121" s="12" t="str">
        <f>IF(D121="","",VLOOKUP(D121,T_MEASURES[],3,FALSE))</f>
        <v>Prevention</v>
      </c>
      <c r="G121" s="12" t="str">
        <f>IF(D121="","",VLOOKUP(D121,T_MEASURES[],6,FALSE))</f>
        <v>Update and maintenance of directories of public administration authorities involved in the Regional Implementation Plan</v>
      </c>
      <c r="H121" s="31">
        <f>IF(D121="","",VLOOKUP(D121,T_MEASURES[],21,FALSE))</f>
        <v>1</v>
      </c>
      <c r="I121" s="31" t="str">
        <f>IF(D121="","",VLOOKUP(D121,T_MEASURES[],11,FALSE))</f>
        <v>€</v>
      </c>
      <c r="J121" s="95" t="str">
        <f>IF(D121="","",MID(VLOOKUP(D121,T_MEASURES[],20,FALSE),FIND(". ",VLOOKUP(D121,T_MEASURES[],20,FALSE))+2,FIND(" (",VLOOKUP(D121,T_MEASURES[],20,FALSE))-FIND(".",VLOOKUP(D121,T_MEASURES[],20,FALSE))-2))</f>
        <v>Low</v>
      </c>
      <c r="K121" s="102">
        <f>IF(D121="","",VLOOKUP(D121,T_MEASURES[],66,FALSE))</f>
        <v>162.5000005</v>
      </c>
      <c r="L121" s="43"/>
      <c r="M121" s="43"/>
      <c r="N121" s="43"/>
      <c r="O121" s="43"/>
      <c r="P121" s="43"/>
      <c r="Q121" s="43"/>
      <c r="R121" s="43"/>
      <c r="S121" s="48"/>
    </row>
    <row r="122" spans="1:19" ht="27.6" customHeight="1" x14ac:dyDescent="0.3">
      <c r="A122" s="43"/>
      <c r="B122" s="48"/>
      <c r="C122" s="43"/>
      <c r="D122" s="11">
        <f>IF( ISERROR(VLOOKUP(ROW(C122)-9,T_MEASURES[],2,FALSE)), "", ROW(C122)-9 )</f>
        <v>113</v>
      </c>
      <c r="E122" s="11" t="str">
        <f>IF(D122="","",VLOOKUP(D122,T_MEASURES[],2,FALSE))</f>
        <v>Med 44</v>
      </c>
      <c r="F122" s="16" t="str">
        <f>IF(D122="","",VLOOKUP(D122,T_MEASURES[],3,FALSE))</f>
        <v>Prevention</v>
      </c>
      <c r="G122" s="16" t="str">
        <f>IF(D122="","",VLOOKUP(D122,T_MEASURES[],6,FALSE))</f>
        <v>Establishment of coordination systems with companies, associations and promoters of cultural events</v>
      </c>
      <c r="H122" s="30">
        <f>IF(D122="","",VLOOKUP(D122,T_MEASURES[],21,FALSE))</f>
        <v>2</v>
      </c>
      <c r="I122" s="30" t="str">
        <f>IF(D122="","",VLOOKUP(D122,T_MEASURES[],11,FALSE))</f>
        <v>€</v>
      </c>
      <c r="J122" s="94" t="str">
        <f>IF(D122="","",MID(VLOOKUP(D122,T_MEASURES[],20,FALSE),FIND(". ",VLOOKUP(D122,T_MEASURES[],20,FALSE))+2,FIND(" (",VLOOKUP(D122,T_MEASURES[],20,FALSE))-FIND(".",VLOOKUP(D122,T_MEASURES[],20,FALSE))-2))</f>
        <v>No Risk</v>
      </c>
      <c r="K122" s="101">
        <f>IF(D122="","",VLOOKUP(D122,T_MEASURES[],66,FALSE))</f>
        <v>162.50000043999998</v>
      </c>
      <c r="L122" s="43"/>
      <c r="M122" s="43"/>
      <c r="N122" s="43"/>
      <c r="O122" s="43"/>
      <c r="P122" s="43"/>
      <c r="Q122" s="43"/>
      <c r="R122" s="43"/>
      <c r="S122" s="48"/>
    </row>
    <row r="123" spans="1:19" ht="27.6" customHeight="1" x14ac:dyDescent="0.3">
      <c r="A123" s="43"/>
      <c r="B123" s="48"/>
      <c r="C123" s="43"/>
      <c r="D123" s="17">
        <f>IF( ISERROR(VLOOKUP(ROW(C123)-9,T_MEASURES[],2,FALSE)), "", ROW(C123)-9 )</f>
        <v>114</v>
      </c>
      <c r="E123" s="17" t="str">
        <f>IF(D123="","",VLOOKUP(D123,T_MEASURES[],2,FALSE))</f>
        <v>Med 43</v>
      </c>
      <c r="F123" s="12" t="str">
        <f>IF(D123="","",VLOOKUP(D123,T_MEASURES[],3,FALSE))</f>
        <v>Prevention</v>
      </c>
      <c r="G123" s="12" t="str">
        <f>IF(D123="","",VLOOKUP(D123,T_MEASURES[],6,FALSE))</f>
        <v>Establishment of coordination systems with companies, associations and promoters of sport events</v>
      </c>
      <c r="H123" s="31">
        <f>IF(D123="","",VLOOKUP(D123,T_MEASURES[],21,FALSE))</f>
        <v>2</v>
      </c>
      <c r="I123" s="31" t="str">
        <f>IF(D123="","",VLOOKUP(D123,T_MEASURES[],11,FALSE))</f>
        <v>€</v>
      </c>
      <c r="J123" s="95" t="str">
        <f>IF(D123="","",MID(VLOOKUP(D123,T_MEASURES[],20,FALSE),FIND(". ",VLOOKUP(D123,T_MEASURES[],20,FALSE))+2,FIND(" (",VLOOKUP(D123,T_MEASURES[],20,FALSE))-FIND(".",VLOOKUP(D123,T_MEASURES[],20,FALSE))-2))</f>
        <v>No Risk</v>
      </c>
      <c r="K123" s="102">
        <f>IF(D123="","",VLOOKUP(D123,T_MEASURES[],66,FALSE))</f>
        <v>162.50000043</v>
      </c>
      <c r="L123" s="43"/>
      <c r="M123" s="43"/>
      <c r="N123" s="43"/>
      <c r="O123" s="43"/>
      <c r="P123" s="43"/>
      <c r="Q123" s="43"/>
      <c r="R123" s="43"/>
      <c r="S123" s="48"/>
    </row>
    <row r="124" spans="1:19" ht="27.6" customHeight="1" x14ac:dyDescent="0.3">
      <c r="A124" s="43"/>
      <c r="B124" s="48"/>
      <c r="C124" s="43"/>
      <c r="D124" s="11">
        <f>IF( ISERROR(VLOOKUP(ROW(C124)-9,T_MEASURES[],2,FALSE)), "", ROW(C124)-9 )</f>
        <v>115</v>
      </c>
      <c r="E124" s="11" t="str">
        <f>IF(D124="","",VLOOKUP(D124,T_MEASURES[],2,FALSE))</f>
        <v>Med 40</v>
      </c>
      <c r="F124" s="16" t="str">
        <f>IF(D124="","",VLOOKUP(D124,T_MEASURES[],3,FALSE))</f>
        <v>Prevention</v>
      </c>
      <c r="G124" s="16" t="str">
        <f>IF(D124="","",VLOOKUP(D124,T_MEASURES[],6,FALSE))</f>
        <v>Maintenance of the directory of reference persons and institutions for the implementation of action protocols</v>
      </c>
      <c r="H124" s="30">
        <f>IF(D124="","",VLOOKUP(D124,T_MEASURES[],21,FALSE))</f>
        <v>1</v>
      </c>
      <c r="I124" s="30" t="str">
        <f>IF(D124="","",VLOOKUP(D124,T_MEASURES[],11,FALSE))</f>
        <v>€</v>
      </c>
      <c r="J124" s="94" t="str">
        <f>IF(D124="","",MID(VLOOKUP(D124,T_MEASURES[],20,FALSE),FIND(". ",VLOOKUP(D124,T_MEASURES[],20,FALSE))+2,FIND(" (",VLOOKUP(D124,T_MEASURES[],20,FALSE))-FIND(".",VLOOKUP(D124,T_MEASURES[],20,FALSE))-2))</f>
        <v>No Risk</v>
      </c>
      <c r="K124" s="101">
        <f>IF(D124="","",VLOOKUP(D124,T_MEASURES[],66,FALSE))</f>
        <v>162.5000004</v>
      </c>
      <c r="L124" s="43"/>
      <c r="M124" s="43"/>
      <c r="N124" s="43"/>
      <c r="O124" s="43"/>
      <c r="P124" s="43"/>
      <c r="Q124" s="43"/>
      <c r="R124" s="43"/>
      <c r="S124" s="48"/>
    </row>
    <row r="125" spans="1:19" ht="27.6" customHeight="1" x14ac:dyDescent="0.3">
      <c r="A125" s="43"/>
      <c r="B125" s="48"/>
      <c r="C125" s="43"/>
      <c r="D125" s="17">
        <f>IF( ISERROR(VLOOKUP(ROW(C125)-9,T_MEASURES[],2,FALSE)), "", ROW(C125)-9 )</f>
        <v>116</v>
      </c>
      <c r="E125" s="17" t="str">
        <f>IF(D125="","",VLOOKUP(D125,T_MEASURES[],2,FALSE))</f>
        <v>Med 36</v>
      </c>
      <c r="F125" s="12" t="str">
        <f>IF(D125="","",VLOOKUP(D125,T_MEASURES[],3,FALSE))</f>
        <v>Prevention</v>
      </c>
      <c r="G125" s="12" t="str">
        <f>IF(D125="","",VLOOKUP(D125,T_MEASURES[],6,FALSE))</f>
        <v>Mapping of the urban climate to better understand the factors that influence the city's climate behavior and locate vulnerable areas</v>
      </c>
      <c r="H125" s="31">
        <f>IF(D125="","",VLOOKUP(D125,T_MEASURES[],21,FALSE))</f>
        <v>1</v>
      </c>
      <c r="I125" s="31" t="str">
        <f>IF(D125="","",VLOOKUP(D125,T_MEASURES[],11,FALSE))</f>
        <v>€€</v>
      </c>
      <c r="J125" s="95" t="str">
        <f>IF(D125="","",MID(VLOOKUP(D125,T_MEASURES[],20,FALSE),FIND(". ",VLOOKUP(D125,T_MEASURES[],20,FALSE))+2,FIND(" (",VLOOKUP(D125,T_MEASURES[],20,FALSE))-FIND(".",VLOOKUP(D125,T_MEASURES[],20,FALSE))-2))</f>
        <v>No Risk</v>
      </c>
      <c r="K125" s="102">
        <f>IF(D125="","",VLOOKUP(D125,T_MEASURES[],66,FALSE))</f>
        <v>162.50000036</v>
      </c>
      <c r="L125" s="43"/>
      <c r="M125" s="43"/>
      <c r="N125" s="43"/>
      <c r="O125" s="43"/>
      <c r="P125" s="43"/>
      <c r="Q125" s="43"/>
      <c r="R125" s="43"/>
      <c r="S125" s="48"/>
    </row>
    <row r="126" spans="1:19" ht="27.6" customHeight="1" x14ac:dyDescent="0.3">
      <c r="A126" s="43"/>
      <c r="B126" s="48"/>
      <c r="C126" s="43"/>
      <c r="D126" s="11">
        <f>IF( ISERROR(VLOOKUP(ROW(C126)-9,T_MEASURES[],2,FALSE)), "", ROW(C126)-9 )</f>
        <v>117</v>
      </c>
      <c r="E126" s="11" t="str">
        <f>IF(D126="","",VLOOKUP(D126,T_MEASURES[],2,FALSE))</f>
        <v>Med 16</v>
      </c>
      <c r="F126" s="16" t="str">
        <f>IF(D126="","",VLOOKUP(D126,T_MEASURES[],3,FALSE))</f>
        <v>Prevention</v>
      </c>
      <c r="G126" s="16" t="str">
        <f>IF(D126="","",VLOOKUP(D126,T_MEASURES[],6,FALSE))</f>
        <v>Establishment of reference data for the identification of priority areas for action during heat waves (plant cover analysis, open space cover, shade provided by buildings...)</v>
      </c>
      <c r="H126" s="30">
        <f>IF(D126="","",VLOOKUP(D126,T_MEASURES[],21,FALSE))</f>
        <v>2</v>
      </c>
      <c r="I126" s="30" t="str">
        <f>IF(D126="","",VLOOKUP(D126,T_MEASURES[],11,FALSE))</f>
        <v>€</v>
      </c>
      <c r="J126" s="94" t="str">
        <f>IF(D126="","",MID(VLOOKUP(D126,T_MEASURES[],20,FALSE),FIND(". ",VLOOKUP(D126,T_MEASURES[],20,FALSE))+2,FIND(" (",VLOOKUP(D126,T_MEASURES[],20,FALSE))-FIND(".",VLOOKUP(D126,T_MEASURES[],20,FALSE))-2))</f>
        <v>No Risk</v>
      </c>
      <c r="K126" s="101">
        <f>IF(D126="","",VLOOKUP(D126,T_MEASURES[],66,FALSE))</f>
        <v>162.50000015999998</v>
      </c>
      <c r="L126" s="43"/>
      <c r="M126" s="43"/>
      <c r="N126" s="43"/>
      <c r="O126" s="43"/>
      <c r="P126" s="43"/>
      <c r="Q126" s="43"/>
      <c r="R126" s="43"/>
      <c r="S126" s="48"/>
    </row>
    <row r="127" spans="1:19" ht="27.6" customHeight="1" x14ac:dyDescent="0.3">
      <c r="A127" s="43"/>
      <c r="B127" s="48"/>
      <c r="C127" s="43"/>
      <c r="D127" s="17">
        <f>IF( ISERROR(VLOOKUP(ROW(C127)-9,T_MEASURES[],2,FALSE)), "", ROW(C127)-9 )</f>
        <v>118</v>
      </c>
      <c r="E127" s="17" t="str">
        <f>IF(D127="","",VLOOKUP(D127,T_MEASURES[],2,FALSE))</f>
        <v>Med 13</v>
      </c>
      <c r="F127" s="12" t="str">
        <f>IF(D127="","",VLOOKUP(D127,T_MEASURES[],3,FALSE))</f>
        <v>Prevention</v>
      </c>
      <c r="G127" s="12" t="str">
        <f>IF(D127="","",VLOOKUP(D127,T_MEASURES[],6,FALSE))</f>
        <v>Identification of opportunities and resources of high touristic potential that promote deseasonalization and the development of new tourism promotion activities more adapted to episodes of high temperatures</v>
      </c>
      <c r="H127" s="31">
        <f>IF(D127="","",VLOOKUP(D127,T_MEASURES[],21,FALSE))</f>
        <v>1</v>
      </c>
      <c r="I127" s="31" t="str">
        <f>IF(D127="","",VLOOKUP(D127,T_MEASURES[],11,FALSE))</f>
        <v>€</v>
      </c>
      <c r="J127" s="95" t="str">
        <f>IF(D127="","",MID(VLOOKUP(D127,T_MEASURES[],20,FALSE),FIND(". ",VLOOKUP(D127,T_MEASURES[],20,FALSE))+2,FIND(" (",VLOOKUP(D127,T_MEASURES[],20,FALSE))-FIND(".",VLOOKUP(D127,T_MEASURES[],20,FALSE))-2))</f>
        <v>No Risk</v>
      </c>
      <c r="K127" s="102">
        <f>IF(D127="","",VLOOKUP(D127,T_MEASURES[],66,FALSE))</f>
        <v>162.50000013000002</v>
      </c>
      <c r="L127" s="43"/>
      <c r="M127" s="43"/>
      <c r="N127" s="43"/>
      <c r="O127" s="43"/>
      <c r="P127" s="43"/>
      <c r="Q127" s="43"/>
      <c r="R127" s="43"/>
      <c r="S127" s="48"/>
    </row>
    <row r="128" spans="1:19" ht="27.6" customHeight="1" x14ac:dyDescent="0.3">
      <c r="A128" s="43"/>
      <c r="B128" s="48"/>
      <c r="C128" s="43"/>
      <c r="D128" s="11">
        <f>IF( ISERROR(VLOOKUP(ROW(C128)-9,T_MEASURES[],2,FALSE)), "", ROW(C128)-9 )</f>
        <v>119</v>
      </c>
      <c r="E128" s="11" t="str">
        <f>IF(D128="","",VLOOKUP(D128,T_MEASURES[],2,FALSE))</f>
        <v>Med 2</v>
      </c>
      <c r="F128" s="16" t="str">
        <f>IF(D128="","",VLOOKUP(D128,T_MEASURES[],3,FALSE))</f>
        <v>Prevention</v>
      </c>
      <c r="G128" s="16" t="str">
        <f>IF(D128="","",VLOOKUP(D128,T_MEASURES[],6,FALSE))</f>
        <v>Installation of green facades in public buildings</v>
      </c>
      <c r="H128" s="30">
        <f>IF(D128="","",VLOOKUP(D128,T_MEASURES[],21,FALSE))</f>
        <v>1</v>
      </c>
      <c r="I128" s="30" t="str">
        <f>IF(D128="","",VLOOKUP(D128,T_MEASURES[],11,FALSE))</f>
        <v>€€€</v>
      </c>
      <c r="J128" s="94" t="str">
        <f>IF(D128="","",MID(VLOOKUP(D128,T_MEASURES[],20,FALSE),FIND(". ",VLOOKUP(D128,T_MEASURES[],20,FALSE))+2,FIND(" (",VLOOKUP(D128,T_MEASURES[],20,FALSE))-FIND(".",VLOOKUP(D128,T_MEASURES[],20,FALSE))-2))</f>
        <v>No Risk</v>
      </c>
      <c r="K128" s="101">
        <f>IF(D128="","",VLOOKUP(D128,T_MEASURES[],66,FALSE))</f>
        <v>162.50000002000002</v>
      </c>
      <c r="L128" s="43"/>
      <c r="M128" s="43"/>
      <c r="N128" s="43"/>
      <c r="O128" s="43"/>
      <c r="P128" s="43"/>
      <c r="Q128" s="43"/>
      <c r="R128" s="43"/>
      <c r="S128" s="48"/>
    </row>
    <row r="129" spans="1:19" ht="27.6" customHeight="1" x14ac:dyDescent="0.3">
      <c r="A129" s="43"/>
      <c r="B129" s="48"/>
      <c r="C129" s="43"/>
      <c r="D129" s="17">
        <f>IF( ISERROR(VLOOKUP(ROW(C129)-9,T_MEASURES[],2,FALSE)), "", ROW(C129)-9 )</f>
        <v>120</v>
      </c>
      <c r="E129" s="17" t="str">
        <f>IF(D129="","",VLOOKUP(D129,T_MEASURES[],2,FALSE))</f>
        <v>Med 125</v>
      </c>
      <c r="F129" s="12" t="str">
        <f>IF(D129="","",VLOOKUP(D129,T_MEASURES[],3,FALSE))</f>
        <v>Communication and awareness raising</v>
      </c>
      <c r="G129" s="12" t="str">
        <f>IF(D129="","",VLOOKUP(D129,T_MEASURES[],6,FALSE))</f>
        <v>Preparation and publication (online or on paper) of a map of the drinking fountain network</v>
      </c>
      <c r="H129" s="31">
        <f>IF(D129="","",VLOOKUP(D129,T_MEASURES[],21,FALSE))</f>
        <v>1</v>
      </c>
      <c r="I129" s="31" t="str">
        <f>IF(D129="","",VLOOKUP(D129,T_MEASURES[],11,FALSE))</f>
        <v>€</v>
      </c>
      <c r="J129" s="95" t="str">
        <f>IF(D129="","",MID(VLOOKUP(D129,T_MEASURES[],20,FALSE),FIND(". ",VLOOKUP(D129,T_MEASURES[],20,FALSE))+2,FIND(" (",VLOOKUP(D129,T_MEASURES[],20,FALSE))-FIND(".",VLOOKUP(D129,T_MEASURES[],20,FALSE))-2))</f>
        <v>High</v>
      </c>
      <c r="K129" s="102">
        <f>IF(D129="","",VLOOKUP(D129,T_MEASURES[],66,FALSE))</f>
        <v>150.00000125</v>
      </c>
      <c r="L129" s="43"/>
      <c r="M129" s="43"/>
      <c r="N129" s="43"/>
      <c r="O129" s="43"/>
      <c r="P129" s="43"/>
      <c r="Q129" s="43"/>
      <c r="R129" s="43"/>
      <c r="S129" s="48"/>
    </row>
    <row r="130" spans="1:19" ht="27.6" customHeight="1" x14ac:dyDescent="0.3">
      <c r="A130" s="43"/>
      <c r="B130" s="48"/>
      <c r="C130" s="43"/>
      <c r="D130" s="11">
        <f>IF( ISERROR(VLOOKUP(ROW(C130)-9,T_MEASURES[],2,FALSE)), "", ROW(C130)-9 )</f>
        <v>121</v>
      </c>
      <c r="E130" s="11" t="str">
        <f>IF(D130="","",VLOOKUP(D130,T_MEASURES[],2,FALSE))</f>
        <v>Med 64</v>
      </c>
      <c r="F130" s="16" t="str">
        <f>IF(D130="","",VLOOKUP(D130,T_MEASURES[],3,FALSE))</f>
        <v>Ready to go measures</v>
      </c>
      <c r="G130" s="16" t="str">
        <f>IF(D130="","",VLOOKUP(D130,T_MEASURES[],6,FALSE))</f>
        <v>Activation of telework for public employees in case of extreme high temperatures in those positions that are possible</v>
      </c>
      <c r="H130" s="30">
        <f>IF(D130="","",VLOOKUP(D130,T_MEASURES[],21,FALSE))</f>
        <v>1</v>
      </c>
      <c r="I130" s="30" t="str">
        <f>IF(D130="","",VLOOKUP(D130,T_MEASURES[],11,FALSE))</f>
        <v>€</v>
      </c>
      <c r="J130" s="94" t="str">
        <f>IF(D130="","",MID(VLOOKUP(D130,T_MEASURES[],20,FALSE),FIND(". ",VLOOKUP(D130,T_MEASURES[],20,FALSE))+2,FIND(" (",VLOOKUP(D130,T_MEASURES[],20,FALSE))-FIND(".",VLOOKUP(D130,T_MEASURES[],20,FALSE))-2))</f>
        <v>High</v>
      </c>
      <c r="K130" s="101">
        <f>IF(D130="","",VLOOKUP(D130,T_MEASURES[],66,FALSE))</f>
        <v>150.00000064</v>
      </c>
      <c r="L130" s="43"/>
      <c r="M130" s="43"/>
      <c r="N130" s="43"/>
      <c r="O130" s="43"/>
      <c r="P130" s="43"/>
      <c r="Q130" s="43"/>
      <c r="R130" s="43"/>
      <c r="S130" s="48"/>
    </row>
    <row r="131" spans="1:19" ht="27.6" customHeight="1" x14ac:dyDescent="0.3">
      <c r="A131" s="43"/>
      <c r="B131" s="48"/>
      <c r="C131" s="43"/>
      <c r="D131" s="17">
        <f>IF( ISERROR(VLOOKUP(ROW(C131)-9,T_MEASURES[],2,FALSE)), "", ROW(C131)-9 )</f>
        <v>122</v>
      </c>
      <c r="E131" s="17" t="str">
        <f>IF(D131="","",VLOOKUP(D131,T_MEASURES[],2,FALSE))</f>
        <v>Med 57</v>
      </c>
      <c r="F131" s="12" t="str">
        <f>IF(D131="","",VLOOKUP(D131,T_MEASURES[],3,FALSE))</f>
        <v>Ready to go measures</v>
      </c>
      <c r="G131" s="12" t="str">
        <f>IF(D131="","",VLOOKUP(D131,T_MEASURES[],6,FALSE))</f>
        <v>Enabling water games in public space</v>
      </c>
      <c r="H131" s="31">
        <f>IF(D131="","",VLOOKUP(D131,T_MEASURES[],21,FALSE))</f>
        <v>2</v>
      </c>
      <c r="I131" s="31" t="str">
        <f>IF(D131="","",VLOOKUP(D131,T_MEASURES[],11,FALSE))</f>
        <v>€€</v>
      </c>
      <c r="J131" s="95" t="str">
        <f>IF(D131="","",MID(VLOOKUP(D131,T_MEASURES[],20,FALSE),FIND(". ",VLOOKUP(D131,T_MEASURES[],20,FALSE))+2,FIND(" (",VLOOKUP(D131,T_MEASURES[],20,FALSE))-FIND(".",VLOOKUP(D131,T_MEASURES[],20,FALSE))-2))</f>
        <v>High</v>
      </c>
      <c r="K131" s="102">
        <f>IF(D131="","",VLOOKUP(D131,T_MEASURES[],66,FALSE))</f>
        <v>150.00000057</v>
      </c>
      <c r="L131" s="43"/>
      <c r="M131" s="43"/>
      <c r="N131" s="43"/>
      <c r="O131" s="43"/>
      <c r="P131" s="43"/>
      <c r="Q131" s="43"/>
      <c r="R131" s="43"/>
      <c r="S131" s="48"/>
    </row>
    <row r="132" spans="1:19" ht="27.6" customHeight="1" x14ac:dyDescent="0.3">
      <c r="A132" s="43"/>
      <c r="B132" s="48"/>
      <c r="C132" s="43"/>
      <c r="D132" s="11">
        <f>IF( ISERROR(VLOOKUP(ROW(C132)-9,T_MEASURES[],2,FALSE)), "", ROW(C132)-9 )</f>
        <v>123</v>
      </c>
      <c r="E132" s="11" t="str">
        <f>IF(D132="","",VLOOKUP(D132,T_MEASURES[],2,FALSE))</f>
        <v>Med 52</v>
      </c>
      <c r="F132" s="16" t="str">
        <f>IF(D132="","",VLOOKUP(D132,T_MEASURES[],3,FALSE))</f>
        <v>Prevention</v>
      </c>
      <c r="G132" s="16" t="str">
        <f>IF(D132="","",VLOOKUP(D132,T_MEASURES[],6,FALSE))</f>
        <v>Coordination with the countries for the implementation of information campaigns to different population groups</v>
      </c>
      <c r="H132" s="30">
        <f>IF(D132="","",VLOOKUP(D132,T_MEASURES[],21,FALSE))</f>
        <v>1</v>
      </c>
      <c r="I132" s="30" t="str">
        <f>IF(D132="","",VLOOKUP(D132,T_MEASURES[],11,FALSE))</f>
        <v>€</v>
      </c>
      <c r="J132" s="94" t="str">
        <f>IF(D132="","",MID(VLOOKUP(D132,T_MEASURES[],20,FALSE),FIND(". ",VLOOKUP(D132,T_MEASURES[],20,FALSE))+2,FIND(" (",VLOOKUP(D132,T_MEASURES[],20,FALSE))-FIND(".",VLOOKUP(D132,T_MEASURES[],20,FALSE))-2))</f>
        <v>Low</v>
      </c>
      <c r="K132" s="101">
        <f>IF(D132="","",VLOOKUP(D132,T_MEASURES[],66,FALSE))</f>
        <v>150.00000051999999</v>
      </c>
      <c r="L132" s="43"/>
      <c r="M132" s="43"/>
      <c r="N132" s="43"/>
      <c r="O132" s="43"/>
      <c r="P132" s="43"/>
      <c r="Q132" s="43"/>
      <c r="R132" s="43"/>
      <c r="S132" s="48"/>
    </row>
    <row r="133" spans="1:19" ht="27.6" customHeight="1" x14ac:dyDescent="0.3">
      <c r="A133" s="43"/>
      <c r="B133" s="48"/>
      <c r="C133" s="43"/>
      <c r="D133" s="17">
        <f>IF( ISERROR(VLOOKUP(ROW(C133)-9,T_MEASURES[],2,FALSE)), "", ROW(C133)-9 )</f>
        <v>124</v>
      </c>
      <c r="E133" s="17" t="str">
        <f>IF(D133="","",VLOOKUP(D133,T_MEASURES[],2,FALSE))</f>
        <v>Med 51</v>
      </c>
      <c r="F133" s="12" t="str">
        <f>IF(D133="","",VLOOKUP(D133,T_MEASURES[],3,FALSE))</f>
        <v>Prevention</v>
      </c>
      <c r="G133" s="12" t="str">
        <f>IF(D133="","",VLOOKUP(D133,T_MEASURES[],6,FALSE))</f>
        <v>Coordination with the health authorities of the countries which develop and implement their own plan</v>
      </c>
      <c r="H133" s="31">
        <f>IF(D133="","",VLOOKUP(D133,T_MEASURES[],21,FALSE))</f>
        <v>1</v>
      </c>
      <c r="I133" s="31" t="str">
        <f>IF(D133="","",VLOOKUP(D133,T_MEASURES[],11,FALSE))</f>
        <v>€</v>
      </c>
      <c r="J133" s="95" t="str">
        <f>IF(D133="","",MID(VLOOKUP(D133,T_MEASURES[],20,FALSE),FIND(". ",VLOOKUP(D133,T_MEASURES[],20,FALSE))+2,FIND(" (",VLOOKUP(D133,T_MEASURES[],20,FALSE))-FIND(".",VLOOKUP(D133,T_MEASURES[],20,FALSE))-2))</f>
        <v>Low</v>
      </c>
      <c r="K133" s="102">
        <f>IF(D133="","",VLOOKUP(D133,T_MEASURES[],66,FALSE))</f>
        <v>150.00000051000001</v>
      </c>
      <c r="L133" s="43"/>
      <c r="M133" s="43"/>
      <c r="N133" s="43"/>
      <c r="O133" s="43"/>
      <c r="P133" s="43"/>
      <c r="Q133" s="43"/>
      <c r="R133" s="43"/>
      <c r="S133" s="48"/>
    </row>
    <row r="134" spans="1:19" ht="27.6" customHeight="1" x14ac:dyDescent="0.3">
      <c r="A134" s="43"/>
      <c r="B134" s="48"/>
      <c r="C134" s="43"/>
      <c r="D134" s="11">
        <f>IF( ISERROR(VLOOKUP(ROW(C134)-9,T_MEASURES[],2,FALSE)), "", ROW(C134)-9 )</f>
        <v>125</v>
      </c>
      <c r="E134" s="11" t="str">
        <f>IF(D134="","",VLOOKUP(D134,T_MEASURES[],2,FALSE))</f>
        <v>Med 23</v>
      </c>
      <c r="F134" s="16" t="str">
        <f>IF(D134="","",VLOOKUP(D134,T_MEASURES[],3,FALSE))</f>
        <v>Prevention</v>
      </c>
      <c r="G134" s="16" t="str">
        <f>IF(D134="","",VLOOKUP(D134,T_MEASURES[],6,FALSE))</f>
        <v>Creation of green rest areas in industrial spaces</v>
      </c>
      <c r="H134" s="30">
        <f>IF(D134="","",VLOOKUP(D134,T_MEASURES[],21,FALSE))</f>
        <v>2</v>
      </c>
      <c r="I134" s="30" t="str">
        <f>IF(D134="","",VLOOKUP(D134,T_MEASURES[],11,FALSE))</f>
        <v>€€€</v>
      </c>
      <c r="J134" s="94" t="str">
        <f>IF(D134="","",MID(VLOOKUP(D134,T_MEASURES[],20,FALSE),FIND(". ",VLOOKUP(D134,T_MEASURES[],20,FALSE))+2,FIND(" (",VLOOKUP(D134,T_MEASURES[],20,FALSE))-FIND(".",VLOOKUP(D134,T_MEASURES[],20,FALSE))-2))</f>
        <v>No Risk</v>
      </c>
      <c r="K134" s="101">
        <f>IF(D134="","",VLOOKUP(D134,T_MEASURES[],66,FALSE))</f>
        <v>150.00000022999998</v>
      </c>
      <c r="L134" s="43"/>
      <c r="M134" s="43"/>
      <c r="N134" s="43"/>
      <c r="O134" s="43"/>
      <c r="P134" s="43"/>
      <c r="Q134" s="43"/>
      <c r="R134" s="43"/>
      <c r="S134" s="48"/>
    </row>
    <row r="135" spans="1:19" ht="27.6" customHeight="1" x14ac:dyDescent="0.3">
      <c r="A135" s="43"/>
      <c r="B135" s="48"/>
      <c r="C135" s="43"/>
      <c r="D135" s="17">
        <f>IF( ISERROR(VLOOKUP(ROW(C135)-9,T_MEASURES[],2,FALSE)), "", ROW(C135)-9 )</f>
        <v>126</v>
      </c>
      <c r="E135" s="17" t="str">
        <f>IF(D135="","",VLOOKUP(D135,T_MEASURES[],2,FALSE))</f>
        <v>Med 15</v>
      </c>
      <c r="F135" s="12" t="str">
        <f>IF(D135="","",VLOOKUP(D135,T_MEASURES[],3,FALSE))</f>
        <v>Prevention</v>
      </c>
      <c r="G135" s="12" t="str">
        <f>IF(D135="","",VLOOKUP(D135,T_MEASURES[],6,FALSE))</f>
        <v>Climate risk analysis of tourism infrastructure and equipment regarding heat waves</v>
      </c>
      <c r="H135" s="31">
        <f>IF(D135="","",VLOOKUP(D135,T_MEASURES[],21,FALSE))</f>
        <v>2</v>
      </c>
      <c r="I135" s="31" t="str">
        <f>IF(D135="","",VLOOKUP(D135,T_MEASURES[],11,FALSE))</f>
        <v>€</v>
      </c>
      <c r="J135" s="95" t="str">
        <f>IF(D135="","",MID(VLOOKUP(D135,T_MEASURES[],20,FALSE),FIND(". ",VLOOKUP(D135,T_MEASURES[],20,FALSE))+2,FIND(" (",VLOOKUP(D135,T_MEASURES[],20,FALSE))-FIND(".",VLOOKUP(D135,T_MEASURES[],20,FALSE))-2))</f>
        <v>No Risk</v>
      </c>
      <c r="K135" s="102">
        <f>IF(D135="","",VLOOKUP(D135,T_MEASURES[],66,FALSE))</f>
        <v>150.00000014999998</v>
      </c>
      <c r="L135" s="43"/>
      <c r="M135" s="43"/>
      <c r="N135" s="43"/>
      <c r="O135" s="43"/>
      <c r="P135" s="43"/>
      <c r="Q135" s="43"/>
      <c r="R135" s="43"/>
      <c r="S135" s="48"/>
    </row>
    <row r="136" spans="1:19" ht="27.6" customHeight="1" x14ac:dyDescent="0.3">
      <c r="A136" s="43"/>
      <c r="B136" s="48"/>
      <c r="C136" s="43"/>
      <c r="D136" s="11">
        <f>IF( ISERROR(VLOOKUP(ROW(C136)-9,T_MEASURES[],2,FALSE)), "", ROW(C136)-9 )</f>
        <v>127</v>
      </c>
      <c r="E136" s="11" t="str">
        <f>IF(D136="","",VLOOKUP(D136,T_MEASURES[],2,FALSE))</f>
        <v>Med 6</v>
      </c>
      <c r="F136" s="16" t="str">
        <f>IF(D136="","",VLOOKUP(D136,T_MEASURES[],3,FALSE))</f>
        <v>Prevention</v>
      </c>
      <c r="G136" s="16" t="str">
        <f>IF(D136="","",VLOOKUP(D136,T_MEASURES[],6,FALSE))</f>
        <v>Application of bioclimatic criteria in the design of open spaces</v>
      </c>
      <c r="H136" s="30">
        <f>IF(D136="","",VLOOKUP(D136,T_MEASURES[],21,FALSE))</f>
        <v>1</v>
      </c>
      <c r="I136" s="30" t="str">
        <f>IF(D136="","",VLOOKUP(D136,T_MEASURES[],11,FALSE))</f>
        <v>€</v>
      </c>
      <c r="J136" s="94" t="str">
        <f>IF(D136="","",MID(VLOOKUP(D136,T_MEASURES[],20,FALSE),FIND(". ",VLOOKUP(D136,T_MEASURES[],20,FALSE))+2,FIND(" (",VLOOKUP(D136,T_MEASURES[],20,FALSE))-FIND(".",VLOOKUP(D136,T_MEASURES[],20,FALSE))-2))</f>
        <v>No Risk</v>
      </c>
      <c r="K136" s="101">
        <f>IF(D136="","",VLOOKUP(D136,T_MEASURES[],66,FALSE))</f>
        <v>150.00000005999999</v>
      </c>
      <c r="L136" s="43"/>
      <c r="M136" s="43"/>
      <c r="N136" s="43"/>
      <c r="O136" s="43"/>
      <c r="P136" s="43"/>
      <c r="Q136" s="43"/>
      <c r="R136" s="43"/>
      <c r="S136" s="48"/>
    </row>
    <row r="137" spans="1:19" ht="27.6" customHeight="1" x14ac:dyDescent="0.3">
      <c r="A137" s="43"/>
      <c r="B137" s="48"/>
      <c r="C137" s="43"/>
      <c r="D137" s="17">
        <f>IF( ISERROR(VLOOKUP(ROW(C137)-9,T_MEASURES[],2,FALSE)), "", ROW(C137)-9 )</f>
        <v>128</v>
      </c>
      <c r="E137" s="17" t="str">
        <f>IF(D137="","",VLOOKUP(D137,T_MEASURES[],2,FALSE))</f>
        <v>Med 56</v>
      </c>
      <c r="F137" s="12" t="str">
        <f>IF(D137="","",VLOOKUP(D137,T_MEASURES[],3,FALSE))</f>
        <v>Prevention</v>
      </c>
      <c r="G137" s="12" t="str">
        <f>IF(D137="","",VLOOKUP(D137,T_MEASURES[],6,FALSE))</f>
        <v>Conditioning of river beaches or lagoons where swimming is allowed</v>
      </c>
      <c r="H137" s="31">
        <f>IF(D137="","",VLOOKUP(D137,T_MEASURES[],21,FALSE))</f>
        <v>0</v>
      </c>
      <c r="I137" s="31" t="str">
        <f>IF(D137="","",VLOOKUP(D137,T_MEASURES[],11,FALSE))</f>
        <v>€€</v>
      </c>
      <c r="J137" s="95" t="str">
        <f>IF(D137="","",MID(VLOOKUP(D137,T_MEASURES[],20,FALSE),FIND(". ",VLOOKUP(D137,T_MEASURES[],20,FALSE))+2,FIND(" (",VLOOKUP(D137,T_MEASURES[],20,FALSE))-FIND(".",VLOOKUP(D137,T_MEASURES[],20,FALSE))-2))</f>
        <v>Low</v>
      </c>
      <c r="K137" s="102">
        <f>IF(D137="","",VLOOKUP(D137,T_MEASURES[],66,FALSE))</f>
        <v>137.50000055999999</v>
      </c>
      <c r="L137" s="43"/>
      <c r="M137" s="43"/>
      <c r="N137" s="43"/>
      <c r="O137" s="43"/>
      <c r="P137" s="43"/>
      <c r="Q137" s="43"/>
      <c r="R137" s="43"/>
      <c r="S137" s="48"/>
    </row>
    <row r="138" spans="1:19" ht="27.6" customHeight="1" x14ac:dyDescent="0.3">
      <c r="A138" s="43"/>
      <c r="B138" s="48"/>
      <c r="C138" s="43"/>
      <c r="D138" s="11">
        <f>IF( ISERROR(VLOOKUP(ROW(C138)-9,T_MEASURES[],2,FALSE)), "", ROW(C138)-9 )</f>
        <v>129</v>
      </c>
      <c r="E138" s="11" t="str">
        <f>IF(D138="","",VLOOKUP(D138,T_MEASURES[],2,FALSE))</f>
        <v>Med 53</v>
      </c>
      <c r="F138" s="16" t="str">
        <f>IF(D138="","",VLOOKUP(D138,T_MEASURES[],3,FALSE))</f>
        <v>Prevention</v>
      </c>
      <c r="G138" s="16" t="str">
        <f>IF(D138="","",VLOOKUP(D138,T_MEASURES[],6,FALSE))</f>
        <v>Installation of air conditioners in municipal centres and facilities lacking refrigeration measures</v>
      </c>
      <c r="H138" s="30">
        <f>IF(D138="","",VLOOKUP(D138,T_MEASURES[],21,FALSE))</f>
        <v>4</v>
      </c>
      <c r="I138" s="30" t="str">
        <f>IF(D138="","",VLOOKUP(D138,T_MEASURES[],11,FALSE))</f>
        <v>€€</v>
      </c>
      <c r="J138" s="94" t="str">
        <f>IF(D138="","",MID(VLOOKUP(D138,T_MEASURES[],20,FALSE),FIND(". ",VLOOKUP(D138,T_MEASURES[],20,FALSE))+2,FIND(" (",VLOOKUP(D138,T_MEASURES[],20,FALSE))-FIND(".",VLOOKUP(D138,T_MEASURES[],20,FALSE))-2))</f>
        <v>Low</v>
      </c>
      <c r="K138" s="101">
        <f>IF(D138="","",VLOOKUP(D138,T_MEASURES[],66,FALSE))</f>
        <v>137.50000052999999</v>
      </c>
      <c r="L138" s="43"/>
      <c r="M138" s="43"/>
      <c r="N138" s="43"/>
      <c r="O138" s="43"/>
      <c r="P138" s="43"/>
      <c r="Q138" s="43"/>
      <c r="R138" s="43"/>
      <c r="S138" s="48"/>
    </row>
    <row r="139" spans="1:19" ht="27.6" customHeight="1" x14ac:dyDescent="0.3">
      <c r="A139" s="43"/>
      <c r="B139" s="48"/>
      <c r="C139" s="43"/>
      <c r="D139" s="17">
        <f>IF( ISERROR(VLOOKUP(ROW(C139)-9,T_MEASURES[],2,FALSE)), "", ROW(C139)-9 )</f>
        <v>130</v>
      </c>
      <c r="E139" s="17" t="str">
        <f>IF(D139="","",VLOOKUP(D139,T_MEASURES[],2,FALSE))</f>
        <v>Med 42</v>
      </c>
      <c r="F139" s="12" t="str">
        <f>IF(D139="","",VLOOKUP(D139,T_MEASURES[],3,FALSE))</f>
        <v>Prevention</v>
      </c>
      <c r="G139" s="12" t="str">
        <f>IF(D139="","",VLOOKUP(D139,T_MEASURES[],6,FALSE))</f>
        <v>Execution of measures for the adaptation of tourist infrastructure and equipment to events of extreme high temperatures (e.g. installation of shade structures, habilitation of interior spaces, installation of water points)</v>
      </c>
      <c r="H139" s="31">
        <f>IF(D139="","",VLOOKUP(D139,T_MEASURES[],21,FALSE))</f>
        <v>2</v>
      </c>
      <c r="I139" s="31" t="str">
        <f>IF(D139="","",VLOOKUP(D139,T_MEASURES[],11,FALSE))</f>
        <v>€</v>
      </c>
      <c r="J139" s="95" t="str">
        <f>IF(D139="","",MID(VLOOKUP(D139,T_MEASURES[],20,FALSE),FIND(". ",VLOOKUP(D139,T_MEASURES[],20,FALSE))+2,FIND(" (",VLOOKUP(D139,T_MEASURES[],20,FALSE))-FIND(".",VLOOKUP(D139,T_MEASURES[],20,FALSE))-2))</f>
        <v>No Risk</v>
      </c>
      <c r="K139" s="102">
        <f>IF(D139="","",VLOOKUP(D139,T_MEASURES[],66,FALSE))</f>
        <v>137.50000041999999</v>
      </c>
      <c r="L139" s="43"/>
      <c r="M139" s="43"/>
      <c r="N139" s="43"/>
      <c r="O139" s="43"/>
      <c r="P139" s="43"/>
      <c r="Q139" s="43"/>
      <c r="R139" s="43"/>
      <c r="S139" s="48"/>
    </row>
    <row r="140" spans="1:19" ht="27.6" customHeight="1" x14ac:dyDescent="0.3">
      <c r="A140" s="43"/>
      <c r="B140" s="48"/>
      <c r="C140" s="43"/>
      <c r="D140" s="11">
        <f>IF( ISERROR(VLOOKUP(ROW(C140)-9,T_MEASURES[],2,FALSE)), "", ROW(C140)-9 )</f>
        <v>131</v>
      </c>
      <c r="E140" s="11" t="str">
        <f>IF(D140="","",VLOOKUP(D140,T_MEASURES[],2,FALSE))</f>
        <v>Med 41</v>
      </c>
      <c r="F140" s="16" t="str">
        <f>IF(D140="","",VLOOKUP(D140,T_MEASURES[],3,FALSE))</f>
        <v>Prevention</v>
      </c>
      <c r="G140" s="16" t="str">
        <f>IF(D140="","",VLOOKUP(D140,T_MEASURES[],6,FALSE))</f>
        <v>Specific technical studies to analyse the bioclimatic reality and comfort of educational centers to determine their characteristics from their geographical location, orientation, degree of sun exposure, constructive typology, construction materials used, insulation quality, etc., to determine the need to perform actions in terms of thermal insulation (insulation of roofs, facades and windows), ventilation, installation of air conditioning systems or temperature temperament or shade areas in outdoor spaces</v>
      </c>
      <c r="H140" s="30">
        <f>IF(D140="","",VLOOKUP(D140,T_MEASURES[],21,FALSE))</f>
        <v>4</v>
      </c>
      <c r="I140" s="30" t="str">
        <f>IF(D140="","",VLOOKUP(D140,T_MEASURES[],11,FALSE))</f>
        <v>€</v>
      </c>
      <c r="J140" s="94" t="str">
        <f>IF(D140="","",MID(VLOOKUP(D140,T_MEASURES[],20,FALSE),FIND(". ",VLOOKUP(D140,T_MEASURES[],20,FALSE))+2,FIND(" (",VLOOKUP(D140,T_MEASURES[],20,FALSE))-FIND(".",VLOOKUP(D140,T_MEASURES[],20,FALSE))-2))</f>
        <v>No Risk</v>
      </c>
      <c r="K140" s="101">
        <f>IF(D140="","",VLOOKUP(D140,T_MEASURES[],66,FALSE))</f>
        <v>137.50000040999998</v>
      </c>
      <c r="L140" s="43"/>
      <c r="M140" s="43"/>
      <c r="N140" s="43"/>
      <c r="O140" s="43"/>
      <c r="P140" s="43"/>
      <c r="Q140" s="43"/>
      <c r="R140" s="43"/>
      <c r="S140" s="48"/>
    </row>
    <row r="141" spans="1:19" ht="27.6" customHeight="1" x14ac:dyDescent="0.3">
      <c r="A141" s="43"/>
      <c r="B141" s="48"/>
      <c r="C141" s="43"/>
      <c r="D141" s="17">
        <f>IF( ISERROR(VLOOKUP(ROW(C141)-9,T_MEASURES[],2,FALSE)), "", ROW(C141)-9 )</f>
        <v>132</v>
      </c>
      <c r="E141" s="17" t="str">
        <f>IF(D141="","",VLOOKUP(D141,T_MEASURES[],2,FALSE))</f>
        <v>Med 22</v>
      </c>
      <c r="F141" s="12" t="str">
        <f>IF(D141="","",VLOOKUP(D141,T_MEASURES[],3,FALSE))</f>
        <v>Prevention</v>
      </c>
      <c r="G141" s="12" t="str">
        <f>IF(D141="","",VLOOKUP(D141,T_MEASURES[],6,FALSE))</f>
        <v>Implementation of cobblestones and draining pavement to reduce the heat absorbed by the pavement and surface temperature</v>
      </c>
      <c r="H141" s="31">
        <f>IF(D141="","",VLOOKUP(D141,T_MEASURES[],21,FALSE))</f>
        <v>1</v>
      </c>
      <c r="I141" s="31" t="str">
        <f>IF(D141="","",VLOOKUP(D141,T_MEASURES[],11,FALSE))</f>
        <v>€€€</v>
      </c>
      <c r="J141" s="95" t="str">
        <f>IF(D141="","",MID(VLOOKUP(D141,T_MEASURES[],20,FALSE),FIND(". ",VLOOKUP(D141,T_MEASURES[],20,FALSE))+2,FIND(" (",VLOOKUP(D141,T_MEASURES[],20,FALSE))-FIND(".",VLOOKUP(D141,T_MEASURES[],20,FALSE))-2))</f>
        <v>No Risk</v>
      </c>
      <c r="K141" s="102">
        <f>IF(D141="","",VLOOKUP(D141,T_MEASURES[],66,FALSE))</f>
        <v>137.50000022</v>
      </c>
      <c r="L141" s="43"/>
      <c r="M141" s="43"/>
      <c r="N141" s="43"/>
      <c r="O141" s="43"/>
      <c r="P141" s="43"/>
      <c r="Q141" s="43"/>
      <c r="R141" s="43"/>
      <c r="S141" s="48"/>
    </row>
    <row r="142" spans="1:19" ht="27.6" customHeight="1" x14ac:dyDescent="0.3">
      <c r="A142" s="43"/>
      <c r="B142" s="48"/>
      <c r="C142" s="43"/>
      <c r="D142" s="11">
        <f>IF( ISERROR(VLOOKUP(ROW(C142)-9,T_MEASURES[],2,FALSE)), "", ROW(C142)-9 )</f>
        <v>133</v>
      </c>
      <c r="E142" s="11" t="str">
        <f>IF(D142="","",VLOOKUP(D142,T_MEASURES[],2,FALSE))</f>
        <v>Med 30</v>
      </c>
      <c r="F142" s="16" t="str">
        <f>IF(D142="","",VLOOKUP(D142,T_MEASURES[],3,FALSE))</f>
        <v>Prevention</v>
      </c>
      <c r="G142" s="16" t="str">
        <f>IF(D142="","",VLOOKUP(D142,T_MEASURES[],6,FALSE))</f>
        <v>Installation of temperature sensors in different areas of the municipality</v>
      </c>
      <c r="H142" s="30">
        <f>IF(D142="","",VLOOKUP(D142,T_MEASURES[],21,FALSE))</f>
        <v>1</v>
      </c>
      <c r="I142" s="30" t="str">
        <f>IF(D142="","",VLOOKUP(D142,T_MEASURES[],11,FALSE))</f>
        <v>€€</v>
      </c>
      <c r="J142" s="94" t="str">
        <f>IF(D142="","",MID(VLOOKUP(D142,T_MEASURES[],20,FALSE),FIND(". ",VLOOKUP(D142,T_MEASURES[],20,FALSE))+2,FIND(" (",VLOOKUP(D142,T_MEASURES[],20,FALSE))-FIND(".",VLOOKUP(D142,T_MEASURES[],20,FALSE))-2))</f>
        <v>No Risk</v>
      </c>
      <c r="K142" s="101">
        <f>IF(D142="","",VLOOKUP(D142,T_MEASURES[],66,FALSE))</f>
        <v>125.0000003</v>
      </c>
      <c r="L142" s="43"/>
      <c r="M142" s="43"/>
      <c r="N142" s="43"/>
      <c r="O142" s="43"/>
      <c r="P142" s="43"/>
      <c r="Q142" s="43"/>
      <c r="R142" s="43"/>
      <c r="S142" s="48"/>
    </row>
    <row r="143" spans="1:19" ht="27.6" customHeight="1" x14ac:dyDescent="0.3">
      <c r="A143" s="43"/>
      <c r="B143" s="48"/>
      <c r="C143" s="43"/>
      <c r="D143" s="17">
        <f>IF( ISERROR(VLOOKUP(ROW(C143)-9,T_MEASURES[],2,FALSE)), "", ROW(C143)-9 )</f>
        <v>134</v>
      </c>
      <c r="E143" s="17" t="str">
        <f>IF(D143="","",VLOOKUP(D143,T_MEASURES[],2,FALSE))</f>
        <v>Med 8</v>
      </c>
      <c r="F143" s="12" t="str">
        <f>IF(D143="","",VLOOKUP(D143,T_MEASURES[],3,FALSE))</f>
        <v>Prevention</v>
      </c>
      <c r="G143" s="12" t="str">
        <f>IF(D143="","",VLOOKUP(D143,T_MEASURES[],6,FALSE))</f>
        <v>Installation of fresh rooftops or green roofs in public buildings</v>
      </c>
      <c r="H143" s="31">
        <f>IF(D143="","",VLOOKUP(D143,T_MEASURES[],21,FALSE))</f>
        <v>3</v>
      </c>
      <c r="I143" s="31" t="str">
        <f>IF(D143="","",VLOOKUP(D143,T_MEASURES[],11,FALSE))</f>
        <v>€€€</v>
      </c>
      <c r="J143" s="95" t="str">
        <f>IF(D143="","",MID(VLOOKUP(D143,T_MEASURES[],20,FALSE),FIND(". ",VLOOKUP(D143,T_MEASURES[],20,FALSE))+2,FIND(" (",VLOOKUP(D143,T_MEASURES[],20,FALSE))-FIND(".",VLOOKUP(D143,T_MEASURES[],20,FALSE))-2))</f>
        <v>No Risk</v>
      </c>
      <c r="K143" s="102">
        <f>IF(D143="","",VLOOKUP(D143,T_MEASURES[],66,FALSE))</f>
        <v>125.00000008000001</v>
      </c>
      <c r="L143" s="43"/>
      <c r="M143" s="43"/>
      <c r="N143" s="43"/>
      <c r="O143" s="43"/>
      <c r="P143" s="43"/>
      <c r="Q143" s="43"/>
      <c r="R143" s="43"/>
      <c r="S143" s="48"/>
    </row>
    <row r="144" spans="1:19" ht="27.6" customHeight="1" x14ac:dyDescent="0.3">
      <c r="A144" s="43"/>
      <c r="B144" s="48"/>
      <c r="C144" s="43"/>
      <c r="D144" s="11">
        <f>IF( ISERROR(VLOOKUP(ROW(C144)-9,T_MEASURES[],2,FALSE)), "", ROW(C144)-9 )</f>
        <v>135</v>
      </c>
      <c r="E144" s="11" t="str">
        <f>IF(D144="","",VLOOKUP(D144,T_MEASURES[],2,FALSE))</f>
        <v>Med 7</v>
      </c>
      <c r="F144" s="16" t="str">
        <f>IF(D144="","",VLOOKUP(D144,T_MEASURES[],3,FALSE))</f>
        <v>Prevention</v>
      </c>
      <c r="G144" s="16" t="str">
        <f>IF(D144="","",VLOOKUP(D144,T_MEASURES[],6,FALSE))</f>
        <v xml:space="preserve">Installation of side gardens, consisting of the removal of a row of tiles from the roadway, which  then replaced by plant species. Excess tiles can be used to fence the garden. </v>
      </c>
      <c r="H144" s="30">
        <f>IF(D144="","",VLOOKUP(D144,T_MEASURES[],21,FALSE))</f>
        <v>2</v>
      </c>
      <c r="I144" s="30" t="str">
        <f>IF(D144="","",VLOOKUP(D144,T_MEASURES[],11,FALSE))</f>
        <v>€€€</v>
      </c>
      <c r="J144" s="94" t="str">
        <f>IF(D144="","",MID(VLOOKUP(D144,T_MEASURES[],20,FALSE),FIND(". ",VLOOKUP(D144,T_MEASURES[],20,FALSE))+2,FIND(" (",VLOOKUP(D144,T_MEASURES[],20,FALSE))-FIND(".",VLOOKUP(D144,T_MEASURES[],20,FALSE))-2))</f>
        <v>No Risk</v>
      </c>
      <c r="K144" s="101">
        <f>IF(D144="","",VLOOKUP(D144,T_MEASURES[],66,FALSE))</f>
        <v>125.00000007</v>
      </c>
      <c r="L144" s="43"/>
      <c r="M144" s="43"/>
      <c r="N144" s="43"/>
      <c r="O144" s="43"/>
      <c r="P144" s="43"/>
      <c r="Q144" s="43"/>
      <c r="R144" s="43"/>
      <c r="S144" s="48"/>
    </row>
    <row r="145" spans="1:19" ht="27.6" customHeight="1" x14ac:dyDescent="0.3">
      <c r="A145" s="43"/>
      <c r="B145" s="48"/>
      <c r="C145" s="43"/>
      <c r="D145" s="17">
        <f>IF( ISERROR(VLOOKUP(ROW(C145)-9,T_MEASURES[],2,FALSE)), "", ROW(C145)-9 )</f>
        <v>136</v>
      </c>
      <c r="E145" s="17" t="str">
        <f>IF(D145="","",VLOOKUP(D145,T_MEASURES[],2,FALSE))</f>
        <v>Med 105</v>
      </c>
      <c r="F145" s="12" t="str">
        <f>IF(D145="","",VLOOKUP(D145,T_MEASURES[],3,FALSE))</f>
        <v>Ready to go measures</v>
      </c>
      <c r="G145" s="12" t="str">
        <f>IF(D145="","",VLOOKUP(D145,T_MEASURES[],6,FALSE))</f>
        <v>Installation of temporary shading for outdoor worker parking areas with no alternative of covered parking</v>
      </c>
      <c r="H145" s="31">
        <f>IF(D145="","",VLOOKUP(D145,T_MEASURES[],21,FALSE))</f>
        <v>1</v>
      </c>
      <c r="I145" s="31" t="str">
        <f>IF(D145="","",VLOOKUP(D145,T_MEASURES[],11,FALSE))</f>
        <v>€€</v>
      </c>
      <c r="J145" s="95" t="str">
        <f>IF(D145="","",MID(VLOOKUP(D145,T_MEASURES[],20,FALSE),FIND(". ",VLOOKUP(D145,T_MEASURES[],20,FALSE))+2,FIND(" (",VLOOKUP(D145,T_MEASURES[],20,FALSE))-FIND(".",VLOOKUP(D145,T_MEASURES[],20,FALSE))-2))</f>
        <v>High</v>
      </c>
      <c r="K145" s="102">
        <f>IF(D145="","",VLOOKUP(D145,T_MEASURES[],66,FALSE))</f>
        <v>112.50000104999999</v>
      </c>
      <c r="L145" s="43"/>
      <c r="M145" s="43"/>
      <c r="N145" s="43"/>
      <c r="O145" s="43"/>
      <c r="P145" s="43"/>
      <c r="Q145" s="43"/>
      <c r="R145" s="43"/>
      <c r="S145" s="48"/>
    </row>
    <row r="146" spans="1:19" ht="27.6" customHeight="1" x14ac:dyDescent="0.3">
      <c r="A146" s="43"/>
      <c r="B146" s="48"/>
      <c r="C146" s="43"/>
      <c r="D146" s="11">
        <f>IF( ISERROR(VLOOKUP(ROW(C146)-9,T_MEASURES[],2,FALSE)), "", ROW(C146)-9 )</f>
        <v>137</v>
      </c>
      <c r="E146" s="11" t="str">
        <f>IF(D146="","",VLOOKUP(D146,T_MEASURES[],2,FALSE))</f>
        <v>Med 55</v>
      </c>
      <c r="F146" s="16" t="str">
        <f>IF(D146="","",VLOOKUP(D146,T_MEASURES[],3,FALSE))</f>
        <v>Prevention</v>
      </c>
      <c r="G146" s="16" t="str">
        <f>IF(D146="","",VLOOKUP(D146,T_MEASURES[],6,FALSE))</f>
        <v>Renewal of vehicles in the municipal fleet lacking air conditioning</v>
      </c>
      <c r="H146" s="30">
        <f>IF(D146="","",VLOOKUP(D146,T_MEASURES[],21,FALSE))</f>
        <v>1</v>
      </c>
      <c r="I146" s="30" t="str">
        <f>IF(D146="","",VLOOKUP(D146,T_MEASURES[],11,FALSE))</f>
        <v>€€€</v>
      </c>
      <c r="J146" s="94" t="str">
        <f>IF(D146="","",MID(VLOOKUP(D146,T_MEASURES[],20,FALSE),FIND(". ",VLOOKUP(D146,T_MEASURES[],20,FALSE))+2,FIND(" (",VLOOKUP(D146,T_MEASURES[],20,FALSE))-FIND(".",VLOOKUP(D146,T_MEASURES[],20,FALSE))-2))</f>
        <v>No Risk</v>
      </c>
      <c r="K146" s="101">
        <f>IF(D146="","",VLOOKUP(D146,T_MEASURES[],66,FALSE))</f>
        <v>112.50000055</v>
      </c>
      <c r="L146" s="43"/>
      <c r="M146" s="43"/>
      <c r="N146" s="43"/>
      <c r="O146" s="43"/>
      <c r="P146" s="43"/>
      <c r="Q146" s="43"/>
      <c r="R146" s="43"/>
      <c r="S146" s="48"/>
    </row>
    <row r="147" spans="1:19" ht="27.6" customHeight="1" x14ac:dyDescent="0.3">
      <c r="A147" s="43"/>
      <c r="B147" s="48"/>
      <c r="C147" s="43"/>
      <c r="D147" s="17">
        <f>IF( ISERROR(VLOOKUP(ROW(C147)-9,T_MEASURES[],2,FALSE)), "", ROW(C147)-9 )</f>
        <v>138</v>
      </c>
      <c r="E147" s="17" t="str">
        <f>IF(D147="","",VLOOKUP(D147,T_MEASURES[],2,FALSE))</f>
        <v>Med 54</v>
      </c>
      <c r="F147" s="12" t="str">
        <f>IF(D147="","",VLOOKUP(D147,T_MEASURES[],3,FALSE))</f>
        <v>Prevention</v>
      </c>
      <c r="G147" s="12" t="str">
        <f>IF(D147="","",VLOOKUP(D147,T_MEASURES[],6,FALSE))</f>
        <v>Perform construction activities to improve the insulation and energy efficiency of buildings and municipal facilities of older building age</v>
      </c>
      <c r="H147" s="31">
        <f>IF(D147="","",VLOOKUP(D147,T_MEASURES[],21,FALSE))</f>
        <v>4</v>
      </c>
      <c r="I147" s="31" t="str">
        <f>IF(D147="","",VLOOKUP(D147,T_MEASURES[],11,FALSE))</f>
        <v>€€€</v>
      </c>
      <c r="J147" s="95" t="str">
        <f>IF(D147="","",MID(VLOOKUP(D147,T_MEASURES[],20,FALSE),FIND(". ",VLOOKUP(D147,T_MEASURES[],20,FALSE))+2,FIND(" (",VLOOKUP(D147,T_MEASURES[],20,FALSE))-FIND(".",VLOOKUP(D147,T_MEASURES[],20,FALSE))-2))</f>
        <v>No Risk</v>
      </c>
      <c r="K147" s="102">
        <f>IF(D147="","",VLOOKUP(D147,T_MEASURES[],66,FALSE))</f>
        <v>112.50000054</v>
      </c>
      <c r="L147" s="43"/>
      <c r="M147" s="43"/>
      <c r="N147" s="43"/>
      <c r="O147" s="43"/>
      <c r="P147" s="43"/>
      <c r="Q147" s="43"/>
      <c r="R147" s="43"/>
      <c r="S147" s="48"/>
    </row>
    <row r="148" spans="1:19" ht="27.6" customHeight="1" x14ac:dyDescent="0.3">
      <c r="A148" s="43"/>
      <c r="B148" s="48"/>
      <c r="C148" s="43"/>
      <c r="D148" s="11">
        <f>IF( ISERROR(VLOOKUP(ROW(C148)-9,T_MEASURES[],2,FALSE)), "", ROW(C148)-9 )</f>
        <v>139</v>
      </c>
      <c r="E148" s="11" t="str">
        <f>IF(D148="","",VLOOKUP(D148,T_MEASURES[],2,FALSE))</f>
        <v>Med 26</v>
      </c>
      <c r="F148" s="16" t="str">
        <f>IF(D148="","",VLOOKUP(D148,T_MEASURES[],3,FALSE))</f>
        <v>Prevention</v>
      </c>
      <c r="G148" s="16" t="str">
        <f>IF(D148="","",VLOOKUP(D148,T_MEASURES[],6,FALSE))</f>
        <v>Installation of photovoltaic pergolas in open spaces, such as parkings or playgrounds</v>
      </c>
      <c r="H148" s="30">
        <f>IF(D148="","",VLOOKUP(D148,T_MEASURES[],21,FALSE))</f>
        <v>1</v>
      </c>
      <c r="I148" s="30" t="str">
        <f>IF(D148="","",VLOOKUP(D148,T_MEASURES[],11,FALSE))</f>
        <v>€€€</v>
      </c>
      <c r="J148" s="94" t="str">
        <f>IF(D148="","",MID(VLOOKUP(D148,T_MEASURES[],20,FALSE),FIND(". ",VLOOKUP(D148,T_MEASURES[],20,FALSE))+2,FIND(" (",VLOOKUP(D148,T_MEASURES[],20,FALSE))-FIND(".",VLOOKUP(D148,T_MEASURES[],20,FALSE))-2))</f>
        <v>No Risk</v>
      </c>
      <c r="K148" s="101">
        <f>IF(D148="","",VLOOKUP(D148,T_MEASURES[],66,FALSE))</f>
        <v>112.50000025999999</v>
      </c>
      <c r="L148" s="43"/>
      <c r="M148" s="43"/>
      <c r="N148" s="43"/>
      <c r="O148" s="43"/>
      <c r="P148" s="43"/>
      <c r="Q148" s="43"/>
      <c r="R148" s="43"/>
      <c r="S148" s="48"/>
    </row>
    <row r="149" spans="1:19" ht="27.6" customHeight="1" x14ac:dyDescent="0.3">
      <c r="A149" s="43"/>
      <c r="B149" s="48"/>
      <c r="C149" s="43"/>
      <c r="D149" s="17">
        <f>IF( ISERROR(VLOOKUP(ROW(C149)-9,T_MEASURES[],2,FALSE)), "", ROW(C149)-9 )</f>
        <v>140</v>
      </c>
      <c r="E149" s="17" t="str">
        <f>IF(D149="","",VLOOKUP(D149,T_MEASURES[],2,FALSE))</f>
        <v>Med 10</v>
      </c>
      <c r="F149" s="12" t="str">
        <f>IF(D149="","",VLOOKUP(D149,T_MEASURES[],3,FALSE))</f>
        <v>Prevention</v>
      </c>
      <c r="G149" s="12" t="str">
        <f>IF(D149="","",VLOOKUP(D149,T_MEASURES[],6,FALSE))</f>
        <v>Creation of a green ring bordering the urban center to minimize the heat island effect</v>
      </c>
      <c r="H149" s="31">
        <f>IF(D149="","",VLOOKUP(D149,T_MEASURES[],21,FALSE))</f>
        <v>2</v>
      </c>
      <c r="I149" s="31" t="str">
        <f>IF(D149="","",VLOOKUP(D149,T_MEASURES[],11,FALSE))</f>
        <v>€€€</v>
      </c>
      <c r="J149" s="95" t="str">
        <f>IF(D149="","",MID(VLOOKUP(D149,T_MEASURES[],20,FALSE),FIND(". ",VLOOKUP(D149,T_MEASURES[],20,FALSE))+2,FIND(" (",VLOOKUP(D149,T_MEASURES[],20,FALSE))-FIND(".",VLOOKUP(D149,T_MEASURES[],20,FALSE))-2))</f>
        <v>No Risk</v>
      </c>
      <c r="K149" s="102">
        <f>IF(D149="","",VLOOKUP(D149,T_MEASURES[],66,FALSE))</f>
        <v>112.50000010000001</v>
      </c>
      <c r="L149" s="43"/>
      <c r="M149" s="43"/>
      <c r="N149" s="43"/>
      <c r="O149" s="43"/>
      <c r="P149" s="43"/>
      <c r="Q149" s="43"/>
      <c r="R149" s="43"/>
      <c r="S149" s="48"/>
    </row>
    <row r="150" spans="1:19" ht="27.6" customHeight="1" x14ac:dyDescent="0.3">
      <c r="A150" s="43"/>
      <c r="B150" s="48"/>
      <c r="C150" s="43"/>
      <c r="D150" s="11">
        <f>IF( ISERROR(VLOOKUP(ROW(C150)-9,T_MEASURES[],2,FALSE)), "", ROW(C150)-9 )</f>
        <v>141</v>
      </c>
      <c r="E150" s="11" t="str">
        <f>IF(D150="","",VLOOKUP(D150,T_MEASURES[],2,FALSE))</f>
        <v>Med 14</v>
      </c>
      <c r="F150" s="16" t="str">
        <f>IF(D150="","",VLOOKUP(D150,T_MEASURES[],3,FALSE))</f>
        <v>Prevention</v>
      </c>
      <c r="G150" s="16" t="str">
        <f>IF(D150="","",VLOOKUP(D150,T_MEASURES[],6,FALSE))</f>
        <v>Adequation of natural areas that, due to their characteristics, values and capacity, are suitable to serve as a climate shelter for tourists and inhabitants in the face of the increase in temperatures derived from climate change</v>
      </c>
      <c r="H150" s="30">
        <f>IF(D150="","",VLOOKUP(D150,T_MEASURES[],21,FALSE))</f>
        <v>1</v>
      </c>
      <c r="I150" s="30" t="str">
        <f>IF(D150="","",VLOOKUP(D150,T_MEASURES[],11,FALSE))</f>
        <v>€</v>
      </c>
      <c r="J150" s="94" t="str">
        <f>IF(D150="","",MID(VLOOKUP(D150,T_MEASURES[],20,FALSE),FIND(". ",VLOOKUP(D150,T_MEASURES[],20,FALSE))+2,FIND(" (",VLOOKUP(D150,T_MEASURES[],20,FALSE))-FIND(".",VLOOKUP(D150,T_MEASURES[],20,FALSE))-2))</f>
        <v>No Risk</v>
      </c>
      <c r="K150" s="101">
        <f>IF(D150="","",VLOOKUP(D150,T_MEASURES[],66,FALSE))</f>
        <v>100.00000013999998</v>
      </c>
      <c r="L150" s="43"/>
      <c r="M150" s="43"/>
      <c r="N150" s="43"/>
      <c r="O150" s="43"/>
      <c r="P150" s="43"/>
      <c r="Q150" s="43"/>
      <c r="R150" s="43"/>
      <c r="S150" s="48"/>
    </row>
    <row r="151" spans="1:19" x14ac:dyDescent="0.3">
      <c r="A151" s="43"/>
      <c r="B151" s="48"/>
      <c r="C151" s="43"/>
      <c r="D151" s="43"/>
      <c r="E151" s="43"/>
      <c r="F151" s="43"/>
      <c r="G151" s="43"/>
      <c r="H151" s="43"/>
      <c r="I151" s="43"/>
      <c r="J151" s="43"/>
      <c r="K151" s="43"/>
      <c r="L151" s="43"/>
      <c r="M151" s="43"/>
      <c r="N151" s="43"/>
      <c r="O151" s="43"/>
      <c r="P151" s="43"/>
      <c r="Q151" s="43"/>
      <c r="R151" s="43"/>
      <c r="S151" s="48"/>
    </row>
    <row r="152" spans="1:19" x14ac:dyDescent="0.3">
      <c r="A152" s="43"/>
      <c r="B152" s="48"/>
      <c r="C152" s="48"/>
      <c r="D152" s="48"/>
      <c r="E152" s="48"/>
      <c r="F152" s="48"/>
      <c r="G152" s="48"/>
      <c r="H152" s="48"/>
      <c r="I152" s="48"/>
      <c r="J152" s="48"/>
      <c r="K152" s="48"/>
      <c r="L152" s="48"/>
      <c r="M152" s="48"/>
      <c r="N152" s="48"/>
      <c r="O152" s="48"/>
      <c r="P152" s="48"/>
      <c r="Q152" s="48"/>
      <c r="R152" s="48"/>
      <c r="S152" s="48"/>
    </row>
  </sheetData>
  <sheetProtection sheet="1" selectLockedCells="1" selectUnlockedCells="1"/>
  <mergeCells count="6">
    <mergeCell ref="M60:Q60"/>
    <mergeCell ref="D8:K8"/>
    <mergeCell ref="M27:Q27"/>
    <mergeCell ref="G2:R4"/>
    <mergeCell ref="M9:Q9"/>
    <mergeCell ref="M14:Q14"/>
  </mergeCells>
  <phoneticPr fontId="25" type="noConversion"/>
  <conditionalFormatting sqref="D10:K150">
    <cfRule type="expression" dxfId="70" priority="1">
      <formula>$D10&gt;=LARGE($D$10:$D$150,20)</formula>
    </cfRule>
  </conditionalFormatting>
  <printOptions horizontalCentered="1" verticalCentered="1"/>
  <pageMargins left="0.31496062992125984" right="0.31496062992125984" top="0.15748031496062992" bottom="0.15748031496062992" header="0" footer="0"/>
  <pageSetup paperSize="9" scale="87" fitToHeight="0" orientation="landscape" r:id="rId1"/>
  <colBreaks count="1" manualBreakCount="1">
    <brk id="11" min="7" max="58" man="1"/>
  </colBreaks>
  <drawing r:id="rId2"/>
  <extLst>
    <ext xmlns:x14="http://schemas.microsoft.com/office/spreadsheetml/2009/9/main" uri="{05C60535-1F16-4fd2-B633-F4F36F0B64E0}">
      <x14:sparklineGroups xmlns:xm="http://schemas.microsoft.com/office/excel/2006/main">
        <x14:sparklineGroup manualMax="0" manualMin="0" type="column" displayEmptyCellsAs="gap" high="1" low="1" minAxisType="group" maxAxisType="group" xr2:uid="{635B6450-FAE0-4C4D-B76F-51CE6216A595}">
          <x14:colorSeries rgb="FFFFC000"/>
          <x14:colorNegative rgb="FFD00000"/>
          <x14:colorAxis rgb="FF000000"/>
          <x14:colorMarkers rgb="FFD00000"/>
          <x14:colorFirst rgb="FFD00000"/>
          <x14:colorLast rgb="FFD00000"/>
          <x14:colorHigh theme="9" tint="-0.249977111117893"/>
          <x14:colorLow rgb="FFC00000"/>
          <x14:sparklines>
            <x14:sparkline>
              <xm:f>'3.RESULTS'!N29:P29</xm:f>
              <xm:sqref>Q29</xm:sqref>
            </x14:sparkline>
            <x14:sparkline>
              <xm:f>'3.RESULTS'!N30:P30</xm:f>
              <xm:sqref>Q30</xm:sqref>
            </x14:sparkline>
            <x14:sparkline>
              <xm:f>'3.RESULTS'!N31:P31</xm:f>
              <xm:sqref>Q31</xm:sqref>
            </x14:sparkline>
            <x14:sparkline>
              <xm:f>'3.RESULTS'!N32:P32</xm:f>
              <xm:sqref>Q32</xm:sqref>
            </x14:sparkline>
            <x14:sparkline>
              <xm:f>'3.RESULTS'!N33:P33</xm:f>
              <xm:sqref>Q33</xm:sqref>
            </x14:sparkline>
            <x14:sparkline>
              <xm:f>'3.RESULTS'!N34:P34</xm:f>
              <xm:sqref>Q34</xm:sqref>
            </x14:sparkline>
            <x14:sparkline>
              <xm:f>'3.RESULTS'!N35:P35</xm:f>
              <xm:sqref>Q35</xm:sqref>
            </x14:sparkline>
            <x14:sparkline>
              <xm:f>'3.RESULTS'!N36:P36</xm:f>
              <xm:sqref>Q36</xm:sqref>
            </x14:sparkline>
          </x14:sparklines>
        </x14:sparklineGroup>
        <x14:sparklineGroup manualMax="0" manualMin="0" type="column" displayEmptyCellsAs="gap" high="1" low="1" minAxisType="group" maxAxisType="group" xr2:uid="{42D74CFE-7169-4242-A4FD-1A3DABABF6DF}">
          <x14:colorSeries rgb="FFFFC000"/>
          <x14:colorNegative rgb="FFD00000"/>
          <x14:colorAxis rgb="FF000000"/>
          <x14:colorMarkers rgb="FFD00000"/>
          <x14:colorFirst rgb="FFD00000"/>
          <x14:colorLast rgb="FFD00000"/>
          <x14:colorHigh theme="9" tint="-0.249977111117893"/>
          <x14:colorLow rgb="FFC00000"/>
          <x14:sparklines>
            <x14:sparkline>
              <xm:f>'3.RESULTS'!N66:P66</xm:f>
              <xm:sqref>Q66</xm:sqref>
            </x14:sparkline>
          </x14:sparklines>
        </x14:sparklineGroup>
        <x14:sparklineGroup manualMax="0" manualMin="0" type="column" displayEmptyCellsAs="gap" high="1" low="1" minAxisType="group" maxAxisType="group" xr2:uid="{92D73B75-EFD0-41EB-88E5-0B82F5D57617}">
          <x14:colorSeries rgb="FFFFC000"/>
          <x14:colorNegative rgb="FFD00000"/>
          <x14:colorAxis rgb="FF000000"/>
          <x14:colorMarkers rgb="FFD00000"/>
          <x14:colorFirst rgb="FFD00000"/>
          <x14:colorLast rgb="FFD00000"/>
          <x14:colorHigh theme="9" tint="-0.249977111117893"/>
          <x14:colorLow rgb="FFC00000"/>
          <x14:sparklines>
            <x14:sparkline>
              <xm:f>'3.RESULTS'!N37:P37</xm:f>
              <xm:sqref>Q37</xm:sqref>
            </x14:sparkline>
          </x14:sparklines>
        </x14:sparklineGroup>
        <x14:sparklineGroup manualMax="0" manualMin="0" type="column" displayEmptyCellsAs="gap" high="1" low="1" minAxisType="group" maxAxisType="group" xr2:uid="{C7620DD8-D4D3-436B-ACB5-78E4A8AA4D63}">
          <x14:colorSeries rgb="FFFFC000"/>
          <x14:colorNegative rgb="FFD00000"/>
          <x14:colorAxis rgb="FF000000"/>
          <x14:colorMarkers rgb="FFD00000"/>
          <x14:colorFirst rgb="FFD00000"/>
          <x14:colorLast rgb="FFD00000"/>
          <x14:colorHigh theme="9" tint="-0.249977111117893"/>
          <x14:colorLow rgb="FFC00000"/>
          <x14:sparklines>
            <x14:sparkline>
              <xm:f>'3.RESULTS'!N62:P62</xm:f>
              <xm:sqref>Q62</xm:sqref>
            </x14:sparkline>
            <x14:sparkline>
              <xm:f>'3.RESULTS'!N63:P63</xm:f>
              <xm:sqref>Q63</xm:sqref>
            </x14:sparkline>
            <x14:sparkline>
              <xm:f>'3.RESULTS'!N64:P64</xm:f>
              <xm:sqref>Q64</xm:sqref>
            </x14:sparkline>
            <x14:sparkline>
              <xm:f>'3.RESULTS'!N65:P65</xm:f>
              <xm:sqref>Q65</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84F9B-CA77-41D1-8767-96D09A15194B}">
  <sheetPr codeName="Hoja6">
    <tabColor rgb="FF003366"/>
    <pageSetUpPr fitToPage="1"/>
  </sheetPr>
  <dimension ref="A1:BS172"/>
  <sheetViews>
    <sheetView showGridLines="0" showRowColHeaders="0" tabSelected="1" zoomScaleNormal="100" workbookViewId="0">
      <selection activeCell="I23" sqref="I23"/>
    </sheetView>
  </sheetViews>
  <sheetFormatPr baseColWidth="10" defaultColWidth="0" defaultRowHeight="14.4" zeroHeight="1" x14ac:dyDescent="0.3"/>
  <cols>
    <col min="1" max="1" width="10.6640625" customWidth="1"/>
    <col min="2" max="2" width="2" customWidth="1"/>
    <col min="3" max="3" width="6.6640625" customWidth="1"/>
    <col min="4" max="4" width="8.33203125" hidden="1" customWidth="1"/>
    <col min="5" max="5" width="8.109375" customWidth="1"/>
    <col min="6" max="6" width="32.33203125" hidden="1" customWidth="1"/>
    <col min="7" max="7" width="13.33203125" hidden="1" customWidth="1"/>
    <col min="8" max="8" width="24" style="20" hidden="1" customWidth="1"/>
    <col min="9" max="9" width="100.77734375" style="20" customWidth="1"/>
    <col min="10" max="10" width="50.77734375" customWidth="1"/>
    <col min="11" max="11" width="7.6640625" hidden="1" customWidth="1"/>
    <col min="12" max="12" width="8.6640625" hidden="1" customWidth="1"/>
    <col min="13" max="13" width="4.33203125" style="4" hidden="1" customWidth="1"/>
    <col min="14" max="14" width="8" customWidth="1"/>
    <col min="15" max="16" width="7.5546875" hidden="1" customWidth="1"/>
    <col min="17" max="17" width="9.21875" hidden="1" customWidth="1"/>
    <col min="18" max="18" width="7.5546875" hidden="1" customWidth="1"/>
    <col min="19" max="21" width="2.33203125" customWidth="1"/>
    <col min="22" max="22" width="2.33203125" style="1" customWidth="1"/>
    <col min="23" max="23" width="9.33203125" style="1" hidden="1" customWidth="1"/>
    <col min="24" max="24" width="9.44140625" style="1" customWidth="1"/>
    <col min="25" max="25" width="15.5546875" style="1" customWidth="1"/>
    <col min="26" max="26" width="10" style="1" hidden="1" customWidth="1"/>
    <col min="27" max="27" width="9.33203125" style="1" customWidth="1"/>
    <col min="28" max="28" width="11.88671875" style="1" hidden="1" customWidth="1"/>
    <col min="29" max="29" width="11.44140625" style="1" customWidth="1"/>
    <col min="30" max="30" width="9.109375" style="1" hidden="1" customWidth="1"/>
    <col min="31" max="31" width="9" style="1" customWidth="1"/>
    <col min="32" max="32" width="14.44140625" style="1" hidden="1" customWidth="1"/>
    <col min="33" max="33" width="13.6640625" style="1" customWidth="1"/>
    <col min="34" max="34" width="11.109375" style="1" hidden="1" customWidth="1"/>
    <col min="35" max="35" width="10.6640625" style="1" customWidth="1"/>
    <col min="36" max="36" width="9.6640625" style="1" hidden="1" customWidth="1"/>
    <col min="37" max="37" width="9.5546875" style="1" customWidth="1"/>
    <col min="38" max="38" width="21.33203125" style="1" hidden="1" customWidth="1"/>
    <col min="39" max="39" width="20.33203125" style="1" customWidth="1"/>
    <col min="40" max="40" width="27.44140625" style="1" hidden="1" customWidth="1"/>
    <col min="41" max="41" width="26" style="1" customWidth="1"/>
    <col min="42" max="42" width="10.5546875" style="1" hidden="1" customWidth="1"/>
    <col min="43" max="43" width="10.33203125" style="1" customWidth="1"/>
    <col min="44" max="44" width="14.109375" hidden="1" customWidth="1"/>
    <col min="45" max="45" width="13.44140625" customWidth="1"/>
    <col min="46" max="46" width="7.33203125" hidden="1" customWidth="1"/>
    <col min="47" max="47" width="7.109375" hidden="1" customWidth="1"/>
    <col min="48" max="48" width="7.6640625" hidden="1" customWidth="1"/>
    <col min="49" max="49" width="8.33203125" hidden="1" customWidth="1"/>
    <col min="50" max="51" width="9.44140625" hidden="1" customWidth="1"/>
    <col min="52" max="52" width="11.109375" hidden="1" customWidth="1"/>
    <col min="53" max="53" width="16.109375" hidden="1" customWidth="1"/>
    <col min="54" max="54" width="16.5546875" hidden="1" customWidth="1"/>
    <col min="55" max="55" width="17.77734375" hidden="1" customWidth="1"/>
    <col min="56" max="56" width="9.44140625" hidden="1" customWidth="1"/>
    <col min="57" max="57" width="9.88671875" hidden="1" customWidth="1"/>
    <col min="58" max="58" width="16.44140625" hidden="1" customWidth="1"/>
    <col min="59" max="59" width="20.33203125" hidden="1" customWidth="1"/>
    <col min="60" max="60" width="14.109375" hidden="1" customWidth="1"/>
    <col min="61" max="62" width="10.6640625" hidden="1" customWidth="1"/>
    <col min="63" max="63" width="15.21875" hidden="1" customWidth="1"/>
    <col min="64" max="64" width="15" hidden="1" customWidth="1"/>
    <col min="65" max="65" width="9.109375" hidden="1" customWidth="1"/>
    <col min="66" max="66" width="12.5546875" hidden="1" customWidth="1"/>
    <col min="67" max="67" width="14.6640625" hidden="1" customWidth="1"/>
    <col min="68" max="69" width="9.44140625" hidden="1" customWidth="1"/>
    <col min="70" max="70" width="6.6640625" customWidth="1"/>
    <col min="71" max="71" width="2" customWidth="1"/>
    <col min="72" max="16384" width="11.5546875" hidden="1"/>
  </cols>
  <sheetData>
    <row r="1" spans="1:71" x14ac:dyDescent="0.3">
      <c r="A1" s="21"/>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row>
    <row r="2" spans="1:71" ht="14.4" customHeight="1" x14ac:dyDescent="0.3">
      <c r="A2" s="21"/>
      <c r="B2" s="38"/>
      <c r="C2" s="76"/>
      <c r="D2" s="76"/>
      <c r="E2" s="76"/>
      <c r="F2" s="76"/>
      <c r="G2" s="76"/>
      <c r="H2" s="148" t="s">
        <v>7</v>
      </c>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38"/>
    </row>
    <row r="3" spans="1:71" ht="14.4" customHeight="1" x14ac:dyDescent="0.3">
      <c r="A3" s="21"/>
      <c r="B3" s="38"/>
      <c r="C3" s="76"/>
      <c r="D3" s="76"/>
      <c r="E3" s="76"/>
      <c r="F3" s="76"/>
      <c r="G3" s="76"/>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38"/>
    </row>
    <row r="4" spans="1:71" ht="14.4" customHeight="1" x14ac:dyDescent="0.3">
      <c r="A4" s="21"/>
      <c r="B4" s="38"/>
      <c r="C4" s="76"/>
      <c r="D4" s="76"/>
      <c r="E4" s="76"/>
      <c r="F4" s="76"/>
      <c r="G4" s="76"/>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38"/>
    </row>
    <row r="5" spans="1:71" ht="27.6" x14ac:dyDescent="0.45">
      <c r="A5" s="21"/>
      <c r="B5" s="38"/>
      <c r="C5" s="23" t="s">
        <v>432</v>
      </c>
      <c r="D5" s="23"/>
      <c r="E5" s="23"/>
      <c r="F5" s="21"/>
      <c r="G5" s="21"/>
      <c r="H5" s="24"/>
      <c r="I5" s="24"/>
      <c r="J5" s="21"/>
      <c r="K5" s="21"/>
      <c r="L5" s="21"/>
      <c r="M5" s="25"/>
      <c r="N5" s="21"/>
      <c r="O5" s="21"/>
      <c r="P5" s="21"/>
      <c r="Q5" s="21"/>
      <c r="R5" s="21"/>
      <c r="S5" s="21"/>
      <c r="T5" s="21"/>
      <c r="U5" s="21"/>
      <c r="V5" s="26"/>
      <c r="W5" s="26"/>
      <c r="X5" s="26"/>
      <c r="Y5" s="26"/>
      <c r="Z5" s="26"/>
      <c r="AA5" s="26"/>
      <c r="AB5" s="26"/>
      <c r="AC5" s="26"/>
      <c r="AD5" s="26"/>
      <c r="AE5" s="26"/>
      <c r="AF5" s="26"/>
      <c r="AG5" s="26"/>
      <c r="AH5" s="26"/>
      <c r="AI5" s="26"/>
      <c r="AJ5" s="26"/>
      <c r="AK5" s="26"/>
      <c r="AL5" s="26"/>
      <c r="AM5" s="26"/>
      <c r="AN5" s="26"/>
      <c r="AO5" s="26"/>
      <c r="AP5" s="26"/>
      <c r="AQ5" s="26"/>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38"/>
    </row>
    <row r="6" spans="1:71" x14ac:dyDescent="0.3">
      <c r="A6" s="21"/>
      <c r="B6" s="38"/>
      <c r="C6" s="27" t="s">
        <v>80</v>
      </c>
      <c r="D6" s="27"/>
      <c r="E6" s="27"/>
      <c r="F6" s="21"/>
      <c r="G6" s="21"/>
      <c r="H6" s="24"/>
      <c r="I6" s="24"/>
      <c r="J6" s="21"/>
      <c r="K6" s="21"/>
      <c r="L6" s="21"/>
      <c r="M6" s="25"/>
      <c r="N6" s="26"/>
      <c r="O6" s="21"/>
      <c r="P6" s="21"/>
      <c r="Q6" s="21"/>
      <c r="R6" s="21"/>
      <c r="S6" s="21"/>
      <c r="T6" s="21"/>
      <c r="U6" s="21"/>
      <c r="V6" s="26"/>
      <c r="W6" s="26"/>
      <c r="X6" s="26"/>
      <c r="Y6" s="26"/>
      <c r="Z6" s="26"/>
      <c r="AA6" s="26"/>
      <c r="AB6" s="26"/>
      <c r="AC6" s="26"/>
      <c r="AD6" s="26"/>
      <c r="AE6" s="26"/>
      <c r="AF6" s="26"/>
      <c r="AG6" s="26"/>
      <c r="AH6" s="26"/>
      <c r="AI6" s="26"/>
      <c r="AJ6" s="26"/>
      <c r="AK6" s="26"/>
      <c r="AL6" s="26"/>
      <c r="AM6" s="26"/>
      <c r="AN6" s="26"/>
      <c r="AO6" s="26"/>
      <c r="AP6" s="26"/>
      <c r="AQ6" s="26"/>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6"/>
      <c r="BR6" s="21"/>
      <c r="BS6" s="38"/>
    </row>
    <row r="7" spans="1:71" x14ac:dyDescent="0.3">
      <c r="A7" s="21"/>
      <c r="B7" s="38"/>
      <c r="C7" s="21"/>
      <c r="D7" s="21"/>
      <c r="E7" s="21"/>
      <c r="F7" s="21"/>
      <c r="G7" s="21"/>
      <c r="H7" s="24"/>
      <c r="I7" s="24"/>
      <c r="J7" s="21"/>
      <c r="K7" s="21"/>
      <c r="L7" s="21"/>
      <c r="M7" s="25"/>
      <c r="N7" s="21"/>
      <c r="O7" s="21"/>
      <c r="P7" s="21"/>
      <c r="Q7" s="21"/>
      <c r="R7" s="21"/>
      <c r="S7" s="21"/>
      <c r="T7" s="21"/>
      <c r="U7" s="21"/>
      <c r="V7" s="26"/>
      <c r="W7" s="26"/>
      <c r="X7" s="26"/>
      <c r="Y7" s="26"/>
      <c r="Z7" s="26"/>
      <c r="AA7" s="26"/>
      <c r="AB7" s="26"/>
      <c r="AC7" s="26"/>
      <c r="AD7" s="26"/>
      <c r="AE7" s="26"/>
      <c r="AF7" s="26"/>
      <c r="AG7" s="26"/>
      <c r="AH7" s="26"/>
      <c r="AI7" s="26"/>
      <c r="AJ7" s="26"/>
      <c r="AK7" s="26"/>
      <c r="AL7" s="26"/>
      <c r="AM7" s="26"/>
      <c r="AN7" s="26"/>
      <c r="AO7" s="26"/>
      <c r="AP7" s="26"/>
      <c r="AQ7" s="26"/>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38"/>
    </row>
    <row r="8" spans="1:71" x14ac:dyDescent="0.3">
      <c r="A8" s="21"/>
      <c r="B8" s="38"/>
      <c r="C8" s="21"/>
      <c r="D8" s="21"/>
      <c r="E8" s="21"/>
      <c r="F8" s="21"/>
      <c r="G8" s="21"/>
      <c r="H8" s="24"/>
      <c r="I8" s="24"/>
      <c r="J8" s="21"/>
      <c r="K8" s="21"/>
      <c r="L8" s="21"/>
      <c r="M8" s="25"/>
      <c r="N8" s="21"/>
      <c r="O8" s="21"/>
      <c r="P8" s="21"/>
      <c r="Q8" s="21"/>
      <c r="R8" s="21"/>
      <c r="S8" s="21"/>
      <c r="T8" s="21"/>
      <c r="U8" s="21"/>
      <c r="V8" s="26"/>
      <c r="W8" s="26"/>
      <c r="X8" s="26"/>
      <c r="Y8" s="26"/>
      <c r="Z8" s="26"/>
      <c r="AA8" s="26"/>
      <c r="AB8" s="26"/>
      <c r="AC8" s="26"/>
      <c r="AD8" s="26"/>
      <c r="AE8" s="26"/>
      <c r="AF8" s="26"/>
      <c r="AG8" s="26"/>
      <c r="AH8" s="26"/>
      <c r="AI8" s="26"/>
      <c r="AJ8" s="26"/>
      <c r="AK8" s="26"/>
      <c r="AL8" s="26"/>
      <c r="AM8" s="26"/>
      <c r="AN8" s="26"/>
      <c r="AO8" s="26"/>
      <c r="AP8" s="26"/>
      <c r="AQ8" s="26"/>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38"/>
    </row>
    <row r="9" spans="1:71" x14ac:dyDescent="0.3">
      <c r="A9" s="21"/>
      <c r="B9" s="38"/>
      <c r="C9" s="21"/>
      <c r="D9" s="21"/>
      <c r="E9" s="21"/>
      <c r="F9" s="21"/>
      <c r="G9" s="21"/>
      <c r="H9" s="24"/>
      <c r="I9" s="24"/>
      <c r="J9" s="21"/>
      <c r="K9" s="21"/>
      <c r="L9" s="21"/>
      <c r="M9" s="25"/>
      <c r="N9" s="21"/>
      <c r="O9" s="21"/>
      <c r="P9" s="21"/>
      <c r="Q9" s="21"/>
      <c r="R9" s="21"/>
      <c r="S9" s="21"/>
      <c r="T9" s="21"/>
      <c r="U9" s="21"/>
      <c r="V9" s="26"/>
      <c r="W9" s="26"/>
      <c r="X9" s="26"/>
      <c r="Y9" s="26"/>
      <c r="Z9" s="26"/>
      <c r="AA9" s="26"/>
      <c r="AB9" s="26"/>
      <c r="AC9" s="26"/>
      <c r="AD9" s="26"/>
      <c r="AE9" s="26"/>
      <c r="AF9" s="26"/>
      <c r="AG9" s="26"/>
      <c r="AH9" s="26"/>
      <c r="AI9" s="26"/>
      <c r="AJ9" s="26"/>
      <c r="AK9" s="26"/>
      <c r="AL9" s="26"/>
      <c r="AM9" s="26"/>
      <c r="AN9" s="26"/>
      <c r="AO9" s="26"/>
      <c r="AP9" s="26"/>
      <c r="AQ9" s="26"/>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38"/>
    </row>
    <row r="10" spans="1:71" x14ac:dyDescent="0.3">
      <c r="A10" s="21"/>
      <c r="B10" s="38"/>
      <c r="C10" s="21"/>
      <c r="D10" s="21"/>
      <c r="E10" s="21"/>
      <c r="F10" s="21"/>
      <c r="G10" s="21"/>
      <c r="H10" s="24"/>
      <c r="I10" s="24"/>
      <c r="J10" s="21"/>
      <c r="K10" s="21"/>
      <c r="L10" s="21"/>
      <c r="M10" s="25"/>
      <c r="N10" s="21"/>
      <c r="O10" s="21"/>
      <c r="P10" s="21"/>
      <c r="Q10" s="21"/>
      <c r="R10" s="21"/>
      <c r="S10" s="21"/>
      <c r="T10" s="21"/>
      <c r="U10" s="21"/>
      <c r="V10" s="26"/>
      <c r="W10" s="26"/>
      <c r="X10" s="26"/>
      <c r="Y10" s="26"/>
      <c r="Z10" s="26"/>
      <c r="AA10" s="26"/>
      <c r="AB10" s="26"/>
      <c r="AC10" s="26"/>
      <c r="AD10" s="26"/>
      <c r="AE10" s="26"/>
      <c r="AF10" s="26"/>
      <c r="AG10" s="26"/>
      <c r="AH10" s="26"/>
      <c r="AI10" s="26"/>
      <c r="AJ10" s="26"/>
      <c r="AK10" s="26"/>
      <c r="AL10" s="26"/>
      <c r="AM10" s="26"/>
      <c r="AN10" s="26"/>
      <c r="AO10" s="26"/>
      <c r="AP10" s="26"/>
      <c r="AQ10" s="26"/>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38"/>
    </row>
    <row r="11" spans="1:71" x14ac:dyDescent="0.3">
      <c r="A11" s="21"/>
      <c r="B11" s="38"/>
      <c r="C11" s="21"/>
      <c r="D11" s="21"/>
      <c r="E11" s="21"/>
      <c r="F11" s="21"/>
      <c r="G11" s="21"/>
      <c r="H11" s="24"/>
      <c r="I11" s="24"/>
      <c r="J11" s="21"/>
      <c r="K11" s="21"/>
      <c r="L11" s="21"/>
      <c r="M11" s="25"/>
      <c r="N11" s="21"/>
      <c r="O11" s="21"/>
      <c r="P11" s="21"/>
      <c r="Q11" s="21"/>
      <c r="R11" s="21"/>
      <c r="S11" s="21"/>
      <c r="T11" s="21"/>
      <c r="U11" s="21"/>
      <c r="V11" s="26"/>
      <c r="W11" s="26"/>
      <c r="X11" s="26"/>
      <c r="Y11" s="26"/>
      <c r="Z11" s="26"/>
      <c r="AA11" s="26"/>
      <c r="AB11" s="26"/>
      <c r="AC11" s="26"/>
      <c r="AD11" s="26"/>
      <c r="AE11" s="26"/>
      <c r="AF11" s="26"/>
      <c r="AG11" s="26"/>
      <c r="AH11" s="26"/>
      <c r="AI11" s="26"/>
      <c r="AJ11" s="26"/>
      <c r="AK11" s="26"/>
      <c r="AL11" s="26"/>
      <c r="AM11" s="26"/>
      <c r="AN11" s="26"/>
      <c r="AO11" s="26"/>
      <c r="AP11" s="26"/>
      <c r="AQ11" s="26"/>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38"/>
    </row>
    <row r="12" spans="1:71" x14ac:dyDescent="0.3">
      <c r="A12" s="21"/>
      <c r="B12" s="38"/>
      <c r="C12" s="21"/>
      <c r="D12" s="21"/>
      <c r="E12" s="21"/>
      <c r="F12" s="21"/>
      <c r="G12" s="21"/>
      <c r="H12" s="24"/>
      <c r="I12" s="24"/>
      <c r="J12" s="21"/>
      <c r="K12" s="21"/>
      <c r="L12" s="21"/>
      <c r="M12" s="25"/>
      <c r="N12" s="21"/>
      <c r="O12" s="21"/>
      <c r="P12" s="21"/>
      <c r="Q12" s="21"/>
      <c r="R12" s="21"/>
      <c r="S12" s="21"/>
      <c r="T12" s="21"/>
      <c r="U12" s="21"/>
      <c r="V12" s="26"/>
      <c r="W12" s="26"/>
      <c r="X12" s="26"/>
      <c r="Y12" s="26"/>
      <c r="Z12" s="26"/>
      <c r="AA12" s="26"/>
      <c r="AB12" s="26"/>
      <c r="AC12" s="26"/>
      <c r="AD12" s="26"/>
      <c r="AE12" s="26"/>
      <c r="AF12" s="26"/>
      <c r="AG12" s="26"/>
      <c r="AH12" s="26"/>
      <c r="AI12" s="26"/>
      <c r="AJ12" s="26"/>
      <c r="AK12" s="26"/>
      <c r="AL12" s="26"/>
      <c r="AM12" s="26"/>
      <c r="AN12" s="26"/>
      <c r="AO12" s="26"/>
      <c r="AP12" s="26"/>
      <c r="AQ12" s="26"/>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38"/>
    </row>
    <row r="13" spans="1:71" x14ac:dyDescent="0.3">
      <c r="A13" s="21"/>
      <c r="B13" s="38"/>
      <c r="C13" s="21"/>
      <c r="D13" s="21"/>
      <c r="E13" s="21"/>
      <c r="F13" s="21"/>
      <c r="G13" s="21"/>
      <c r="H13" s="24"/>
      <c r="I13" s="24"/>
      <c r="J13" s="21"/>
      <c r="K13" s="21"/>
      <c r="L13" s="21"/>
      <c r="M13" s="25"/>
      <c r="N13" s="21"/>
      <c r="O13" s="21"/>
      <c r="P13" s="21"/>
      <c r="Q13" s="21"/>
      <c r="R13" s="21"/>
      <c r="S13" s="21"/>
      <c r="T13" s="21"/>
      <c r="U13" s="21"/>
      <c r="V13" s="26"/>
      <c r="W13" s="26"/>
      <c r="X13" s="26"/>
      <c r="Y13" s="26"/>
      <c r="Z13" s="26"/>
      <c r="AA13" s="26"/>
      <c r="AB13" s="26"/>
      <c r="AC13" s="26"/>
      <c r="AD13" s="26"/>
      <c r="AE13" s="26"/>
      <c r="AF13" s="26"/>
      <c r="AG13" s="26"/>
      <c r="AH13" s="26"/>
      <c r="AI13" s="26"/>
      <c r="AJ13" s="26"/>
      <c r="AK13" s="26"/>
      <c r="AL13" s="26"/>
      <c r="AM13" s="26"/>
      <c r="AN13" s="26"/>
      <c r="AO13" s="26"/>
      <c r="AP13" s="26"/>
      <c r="AQ13" s="26"/>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38"/>
    </row>
    <row r="14" spans="1:71" x14ac:dyDescent="0.3">
      <c r="A14" s="21"/>
      <c r="B14" s="38"/>
      <c r="C14" s="21"/>
      <c r="D14" s="21"/>
      <c r="E14" s="21"/>
      <c r="F14" s="21"/>
      <c r="G14" s="21"/>
      <c r="H14" s="24"/>
      <c r="I14" s="24"/>
      <c r="J14" s="21"/>
      <c r="K14" s="21"/>
      <c r="L14" s="21"/>
      <c r="M14" s="25"/>
      <c r="N14" s="21"/>
      <c r="O14" s="21"/>
      <c r="P14" s="21"/>
      <c r="Q14" s="21"/>
      <c r="R14" s="21"/>
      <c r="S14" s="21"/>
      <c r="T14" s="21"/>
      <c r="U14" s="21"/>
      <c r="V14" s="26"/>
      <c r="W14" s="26"/>
      <c r="X14" s="26"/>
      <c r="Y14" s="26"/>
      <c r="Z14" s="26"/>
      <c r="AA14" s="26"/>
      <c r="AB14" s="26"/>
      <c r="AC14" s="26"/>
      <c r="AD14" s="26"/>
      <c r="AE14" s="26"/>
      <c r="AF14" s="26"/>
      <c r="AG14" s="26"/>
      <c r="AH14" s="26"/>
      <c r="AI14" s="26"/>
      <c r="AJ14" s="26"/>
      <c r="AK14" s="26"/>
      <c r="AL14" s="26"/>
      <c r="AM14" s="26"/>
      <c r="AN14" s="26"/>
      <c r="AO14" s="26"/>
      <c r="AP14" s="26"/>
      <c r="AQ14" s="26"/>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38"/>
    </row>
    <row r="15" spans="1:71" x14ac:dyDescent="0.3">
      <c r="A15" s="21"/>
      <c r="B15" s="38"/>
      <c r="C15" s="21"/>
      <c r="D15" s="21"/>
      <c r="E15" s="21"/>
      <c r="F15" s="21"/>
      <c r="G15" s="21"/>
      <c r="H15" s="24"/>
      <c r="I15" s="24"/>
      <c r="J15" s="21"/>
      <c r="K15" s="21"/>
      <c r="L15" s="21"/>
      <c r="M15" s="25"/>
      <c r="N15" s="21"/>
      <c r="O15" s="21"/>
      <c r="P15" s="21"/>
      <c r="Q15" s="21"/>
      <c r="R15" s="21"/>
      <c r="S15" s="21"/>
      <c r="T15" s="21"/>
      <c r="U15" s="21"/>
      <c r="V15" s="26"/>
      <c r="W15" s="26"/>
      <c r="X15" s="26"/>
      <c r="Y15" s="26"/>
      <c r="Z15" s="26"/>
      <c r="AA15" s="26"/>
      <c r="AB15" s="26"/>
      <c r="AC15" s="26"/>
      <c r="AD15" s="26"/>
      <c r="AE15" s="26"/>
      <c r="AF15" s="26"/>
      <c r="AG15" s="26"/>
      <c r="AH15" s="26"/>
      <c r="AI15" s="26"/>
      <c r="AJ15" s="26"/>
      <c r="AK15" s="26"/>
      <c r="AL15" s="26"/>
      <c r="AM15" s="26"/>
      <c r="AN15" s="26"/>
      <c r="AO15" s="26"/>
      <c r="AP15" s="26"/>
      <c r="AQ15" s="26"/>
      <c r="AR15" s="21"/>
      <c r="AS15" s="21"/>
      <c r="AT15" s="87" t="str">
        <f>IF('1.MUNICIPAL_PROFILE'!$F$12="&lt;5.000",1,"")</f>
        <v/>
      </c>
      <c r="AU15" s="87" t="str">
        <f>IF('1.MUNICIPAL_PROFILE'!$F$12="5.001–20.000",1,"")</f>
        <v/>
      </c>
      <c r="AV15" s="87" t="str">
        <f>IF('1.MUNICIPAL_PROFILE'!$F$12="20.001–50.000",1,"")</f>
        <v/>
      </c>
      <c r="AW15" s="87" t="str">
        <f>IF('1.MUNICIPAL_PROFILE'!$F$12="50.001–100.000",1,"")</f>
        <v/>
      </c>
      <c r="AX15" s="87">
        <f>IF('1.MUNICIPAL_PROFILE'!$F$12="&gt;100.000",1,"")</f>
        <v>1</v>
      </c>
      <c r="AY15" s="21"/>
      <c r="AZ15" s="87">
        <f>IF(Care_centers="Yes",1,0)</f>
        <v>0</v>
      </c>
      <c r="BA15" s="87">
        <f>IF(Buildings="Yes",1,0)</f>
        <v>0</v>
      </c>
      <c r="BB15" s="87">
        <f>IF(Swimming="Yes",1,0)</f>
        <v>0</v>
      </c>
      <c r="BC15" s="87">
        <f>IF(Beaches="Yes",1,0)</f>
        <v>0</v>
      </c>
      <c r="BD15" s="87">
        <f>IF(Rivers="Yes",1,0)</f>
        <v>0</v>
      </c>
      <c r="BE15" s="87">
        <f>IF(Transport="Yes",1,0)</f>
        <v>0</v>
      </c>
      <c r="BF15" s="87">
        <f>IF(Schools="Yes",1,0)</f>
        <v>0</v>
      </c>
      <c r="BG15" s="21"/>
      <c r="BH15" s="21"/>
      <c r="BI15" s="21"/>
      <c r="BJ15" s="21"/>
      <c r="BK15" s="21"/>
      <c r="BL15" s="21"/>
      <c r="BM15" s="21"/>
      <c r="BN15" s="21"/>
      <c r="BO15" s="21"/>
      <c r="BP15" s="21"/>
      <c r="BQ15" s="21"/>
      <c r="BR15" s="21"/>
      <c r="BS15" s="38"/>
    </row>
    <row r="16" spans="1:71" x14ac:dyDescent="0.3">
      <c r="A16" s="21"/>
      <c r="B16" s="38"/>
      <c r="C16" s="21"/>
      <c r="D16" s="21"/>
      <c r="E16" s="21"/>
      <c r="F16" s="21"/>
      <c r="G16" s="21"/>
      <c r="H16" s="24"/>
      <c r="I16" s="24"/>
      <c r="J16" s="21"/>
      <c r="K16" s="21"/>
      <c r="L16" s="21"/>
      <c r="M16" s="25"/>
      <c r="N16" s="21"/>
      <c r="O16" s="21"/>
      <c r="P16" s="21"/>
      <c r="Q16" s="21"/>
      <c r="R16" s="21"/>
      <c r="S16" s="21"/>
      <c r="T16" s="21"/>
      <c r="U16" s="21"/>
      <c r="V16" s="26"/>
      <c r="W16" s="26"/>
      <c r="X16" s="26"/>
      <c r="Y16" s="26"/>
      <c r="Z16" s="26"/>
      <c r="AA16" s="26"/>
      <c r="AB16" s="26"/>
      <c r="AC16" s="26"/>
      <c r="AD16" s="26"/>
      <c r="AE16" s="26"/>
      <c r="AF16" s="26"/>
      <c r="AG16" s="26"/>
      <c r="AH16" s="26"/>
      <c r="AI16" s="26"/>
      <c r="AJ16" s="26"/>
      <c r="AK16" s="26"/>
      <c r="AL16" s="26"/>
      <c r="AM16" s="26"/>
      <c r="AN16" s="26"/>
      <c r="AO16" s="26"/>
      <c r="AP16" s="26"/>
      <c r="AQ16" s="26"/>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38"/>
    </row>
    <row r="17" spans="1:71" s="19" customFormat="1" ht="30" customHeight="1" x14ac:dyDescent="0.3">
      <c r="A17" s="22"/>
      <c r="B17" s="38"/>
      <c r="C17" s="21"/>
      <c r="D17" s="103" t="s">
        <v>46</v>
      </c>
      <c r="E17" s="52" t="s">
        <v>81</v>
      </c>
      <c r="F17" s="53" t="s">
        <v>82</v>
      </c>
      <c r="G17" s="53" t="s">
        <v>83</v>
      </c>
      <c r="H17" s="53" t="s">
        <v>84</v>
      </c>
      <c r="I17" s="53" t="s">
        <v>85</v>
      </c>
      <c r="J17" s="53" t="s">
        <v>410</v>
      </c>
      <c r="K17" s="54" t="s">
        <v>86</v>
      </c>
      <c r="L17" s="54" t="s">
        <v>87</v>
      </c>
      <c r="M17" s="54" t="s">
        <v>88</v>
      </c>
      <c r="N17" s="54" t="s">
        <v>89</v>
      </c>
      <c r="O17" s="54" t="s">
        <v>90</v>
      </c>
      <c r="P17" s="54" t="s">
        <v>91</v>
      </c>
      <c r="Q17" s="54" t="s">
        <v>433</v>
      </c>
      <c r="R17" s="54" t="s">
        <v>92</v>
      </c>
      <c r="S17" s="55" t="s">
        <v>93</v>
      </c>
      <c r="T17" s="56" t="s">
        <v>94</v>
      </c>
      <c r="U17" s="56" t="s">
        <v>95</v>
      </c>
      <c r="V17" s="57" t="s">
        <v>96</v>
      </c>
      <c r="W17" s="54" t="s">
        <v>97</v>
      </c>
      <c r="X17" s="54" t="s">
        <v>98</v>
      </c>
      <c r="Y17" s="54" t="s">
        <v>58</v>
      </c>
      <c r="Z17" s="54" t="s">
        <v>99</v>
      </c>
      <c r="AA17" s="54" t="s">
        <v>59</v>
      </c>
      <c r="AB17" s="54" t="s">
        <v>100</v>
      </c>
      <c r="AC17" s="54" t="s">
        <v>60</v>
      </c>
      <c r="AD17" s="54" t="s">
        <v>101</v>
      </c>
      <c r="AE17" s="54" t="s">
        <v>61</v>
      </c>
      <c r="AF17" s="54" t="s">
        <v>102</v>
      </c>
      <c r="AG17" s="54" t="s">
        <v>62</v>
      </c>
      <c r="AH17" s="54" t="s">
        <v>103</v>
      </c>
      <c r="AI17" s="54" t="s">
        <v>63</v>
      </c>
      <c r="AJ17" s="54" t="s">
        <v>104</v>
      </c>
      <c r="AK17" s="54" t="s">
        <v>64</v>
      </c>
      <c r="AL17" s="54" t="s">
        <v>42</v>
      </c>
      <c r="AM17" s="54" t="s">
        <v>65</v>
      </c>
      <c r="AN17" s="54" t="s">
        <v>105</v>
      </c>
      <c r="AO17" s="54" t="s">
        <v>66</v>
      </c>
      <c r="AP17" s="54" t="s">
        <v>106</v>
      </c>
      <c r="AQ17" s="54" t="s">
        <v>67</v>
      </c>
      <c r="AR17" s="55" t="s">
        <v>107</v>
      </c>
      <c r="AS17" s="58" t="s">
        <v>68</v>
      </c>
      <c r="AT17" s="108" t="s">
        <v>108</v>
      </c>
      <c r="AU17" s="84" t="s">
        <v>109</v>
      </c>
      <c r="AV17" s="84" t="s">
        <v>110</v>
      </c>
      <c r="AW17" s="84" t="s">
        <v>111</v>
      </c>
      <c r="AX17" s="84" t="s">
        <v>112</v>
      </c>
      <c r="AY17" s="84" t="s">
        <v>113</v>
      </c>
      <c r="AZ17" s="85" t="s">
        <v>114</v>
      </c>
      <c r="BA17" s="92" t="s">
        <v>22</v>
      </c>
      <c r="BB17" s="92" t="s">
        <v>24</v>
      </c>
      <c r="BC17" s="92" t="s">
        <v>25</v>
      </c>
      <c r="BD17" s="92" t="s">
        <v>26</v>
      </c>
      <c r="BE17" s="92" t="s">
        <v>27</v>
      </c>
      <c r="BF17" s="92" t="s">
        <v>28</v>
      </c>
      <c r="BG17" s="92" t="s">
        <v>29</v>
      </c>
      <c r="BH17" s="93" t="s">
        <v>115</v>
      </c>
      <c r="BI17" s="89" t="s">
        <v>116</v>
      </c>
      <c r="BJ17" s="89" t="s">
        <v>117</v>
      </c>
      <c r="BK17" s="89" t="s">
        <v>118</v>
      </c>
      <c r="BL17" s="89" t="s">
        <v>119</v>
      </c>
      <c r="BM17" s="89" t="s">
        <v>120</v>
      </c>
      <c r="BN17" s="89" t="s">
        <v>121</v>
      </c>
      <c r="BO17" s="89" t="s">
        <v>122</v>
      </c>
      <c r="BP17" s="91" t="s">
        <v>123</v>
      </c>
      <c r="BQ17" s="90" t="s">
        <v>124</v>
      </c>
      <c r="BR17" s="21"/>
      <c r="BS17" s="38"/>
    </row>
    <row r="18" spans="1:71" ht="33.6" x14ac:dyDescent="0.3">
      <c r="A18" s="21"/>
      <c r="B18" s="38"/>
      <c r="C18" s="21"/>
      <c r="D18" s="86">
        <f>IF(T_MEASURES[[#This Row],[Weight Criterion]]&lt;=0,"",_xlfn.RANK.EQ(T_MEASURES[[#This Row],[Weight Criterion]],T_MEASURES[Weight Criterion]))</f>
        <v>106</v>
      </c>
      <c r="E18" s="152" t="s">
        <v>125</v>
      </c>
      <c r="F18" s="150" t="s">
        <v>55</v>
      </c>
      <c r="G18" s="150" t="s">
        <v>42</v>
      </c>
      <c r="H18" s="150" t="s">
        <v>126</v>
      </c>
      <c r="I18" s="149" t="s">
        <v>127</v>
      </c>
      <c r="J18" s="149"/>
      <c r="K18" s="153">
        <v>1</v>
      </c>
      <c r="L18" s="18"/>
      <c r="M18" s="18"/>
      <c r="N18" s="154" t="str">
        <f t="shared" ref="N18:N49" si="0">IF(M18&lt;&gt;"","€€€", IF(L18&lt;&gt;"","€€", IF(K18&lt;&gt;"","€","-")))</f>
        <v>€</v>
      </c>
      <c r="O18" s="155">
        <v>1</v>
      </c>
      <c r="P18" s="155">
        <v>1</v>
      </c>
      <c r="Q18" s="19"/>
      <c r="R18" s="155"/>
      <c r="S18" s="72" t="str">
        <f>IF(T_MEASURES[[#This Row],[No risk (0)]]=1,"■","")</f>
        <v>■</v>
      </c>
      <c r="T18" s="73" t="str">
        <f>IF(T_MEASURES[[#This Row],[Low risk (1)]]=1,"■","")</f>
        <v>■</v>
      </c>
      <c r="U18" s="74" t="str">
        <f>IF(T_MEASURES[[#This Row],[Medium risk (2)]]=1,"■","")</f>
        <v/>
      </c>
      <c r="V18" s="71" t="str">
        <f>IF(T_MEASURES[[#This Row],[High risk (3)]]=1,"■","")</f>
        <v/>
      </c>
      <c r="W18" s="18" t="str">
        <f t="shared" ref="W18:W82" si="1">IF(R18&lt;&gt;"","4. High (Red)", IF(Q18&lt;&gt;"","3. Medium (Orange)", IF(P18&lt;&gt;"","2. Low (Yellow)","1. No Risk (Green)")))</f>
        <v>2. Low (Yellow)</v>
      </c>
      <c r="X18" s="156">
        <f>COUNT(T_MEASURES[[#This Row],[Buildings and public facilities]:[Coordination]])</f>
        <v>1</v>
      </c>
      <c r="Y18" s="18"/>
      <c r="Z18" s="18" t="str">
        <f>IF(T_MEASURES[[#This Row],[Buildings and public facilities]]=1,"Yes","No")</f>
        <v>No</v>
      </c>
      <c r="AA18" s="18"/>
      <c r="AB18" s="18" t="str">
        <f>IF(T_MEASURES[[#This Row],[Urban planning]]=1,"Yes","No")</f>
        <v>No</v>
      </c>
      <c r="AC18" s="18"/>
      <c r="AD18" s="18" t="str">
        <f>IF(T_MEASURES[[#This Row],[Culture and Sports]],"Yes","No")</f>
        <v>No</v>
      </c>
      <c r="AE18" s="157">
        <v>1</v>
      </c>
      <c r="AF18" s="18" t="str">
        <f>IF(T_MEASURES[[#This Row],[Tourism]],"Yes","No")</f>
        <v>Yes</v>
      </c>
      <c r="AG18" s="18"/>
      <c r="AH18" s="18" t="str">
        <f>IF(T_MEASURES[[#This Row],[Occupational risks]],"Yes","No")</f>
        <v>No</v>
      </c>
      <c r="AI18" s="18"/>
      <c r="AJ18" s="18" t="str">
        <f>IF(T_MEASURES[[#This Row],[Education]],"Yes","No")</f>
        <v>No</v>
      </c>
      <c r="AK18" s="18"/>
      <c r="AL18" s="18" t="str">
        <f>IF(T_MEASURES[[#This Row],[Social Services]],"Yes","No")</f>
        <v>No</v>
      </c>
      <c r="AM18" s="18"/>
      <c r="AN18" s="18" t="str">
        <f>IF(T_MEASURES[[#This Row],[Emergency Services and Police]],"Yes","No")</f>
        <v>No</v>
      </c>
      <c r="AO18" s="18"/>
      <c r="AP18" s="18" t="str">
        <f>IF(T_MEASURES[[#This Row],[Parks and gardens (Urban Green Infrastructure)]],"Yes","No")</f>
        <v>No</v>
      </c>
      <c r="AQ18" s="18"/>
      <c r="AR18" s="18" t="str">
        <f>IF(T_MEASURES[[#This Row],[Transport]],"Yes","No")</f>
        <v>No</v>
      </c>
      <c r="AS18" s="158"/>
      <c r="AT18" s="1" t="str">
        <f>IF(T_MEASURES[[#This Row],[Coordination]],"Yes","No")</f>
        <v>No</v>
      </c>
      <c r="AU18" s="2">
        <v>1</v>
      </c>
      <c r="AV18" s="1">
        <v>1</v>
      </c>
      <c r="AW18" s="1">
        <v>1</v>
      </c>
      <c r="AX18" s="1">
        <v>1</v>
      </c>
      <c r="AY18" s="3">
        <v>1</v>
      </c>
      <c r="AZ18" s="86">
        <f>SUMPRODUCT($AT$15:$AX$15,T_MEASURES[[#This Row],[&lt;5.000]:[&gt;100.000]])</f>
        <v>1</v>
      </c>
      <c r="BA18" s="1">
        <v>1</v>
      </c>
      <c r="BB18" s="1">
        <v>1</v>
      </c>
      <c r="BC18" s="1">
        <v>1</v>
      </c>
      <c r="BD18" s="1">
        <v>1</v>
      </c>
      <c r="BE18" s="1">
        <v>1</v>
      </c>
      <c r="BF18" s="1">
        <v>1</v>
      </c>
      <c r="BG18" s="1">
        <v>1</v>
      </c>
      <c r="BH18" s="86" cm="1">
        <f t="array" ref="BH18">SUMPRODUCT(--((T_MEASURES[[#This Row],[Health or social care centers]:[Schools / Educational centers]] + $AZ$15:$BF$15)&gt;0))</f>
        <v>7</v>
      </c>
      <c r="BI18" s="88">
        <v>0</v>
      </c>
      <c r="BJ18" s="88">
        <v>0</v>
      </c>
      <c r="BK18" s="88">
        <v>1</v>
      </c>
      <c r="BL18" s="88">
        <v>1</v>
      </c>
      <c r="BM18" s="88">
        <v>3</v>
      </c>
      <c r="BN18" s="88">
        <v>3</v>
      </c>
      <c r="BO18" s="88">
        <v>3</v>
      </c>
      <c r="BP18" s="88">
        <v>3</v>
      </c>
      <c r="BQ18" s="96" cm="1">
        <f t="array" ref="BQ18">T_MEASURES[[#This Row],[Apply size]]*(SUMPRODUCT(T_MEASURES[[#This Row],[C1_Urban Cooling]:[C8_Time]],TRANSPOSE('2.WEIGHTS'!$L$12:$L$19))+(ROW(C18)-ROW($C$18)+1)*0.0000000001)*100</f>
        <v>175.00000001000001</v>
      </c>
      <c r="BR18" s="21"/>
      <c r="BS18" s="38"/>
    </row>
    <row r="19" spans="1:71" ht="33.6" x14ac:dyDescent="0.3">
      <c r="A19" s="21"/>
      <c r="B19" s="38"/>
      <c r="C19" s="21"/>
      <c r="D19" s="86">
        <f>IF(T_MEASURES[[#This Row],[Weight Criterion]]&lt;=0,"",_xlfn.RANK.EQ(T_MEASURES[[#This Row],[Weight Criterion]],T_MEASURES[Weight Criterion]))</f>
        <v>119</v>
      </c>
      <c r="E19" s="152" t="s">
        <v>128</v>
      </c>
      <c r="F19" s="150" t="s">
        <v>55</v>
      </c>
      <c r="G19" s="150" t="s">
        <v>41</v>
      </c>
      <c r="H19" s="150" t="s">
        <v>129</v>
      </c>
      <c r="I19" s="150" t="s">
        <v>130</v>
      </c>
      <c r="J19" s="150"/>
      <c r="K19" s="153"/>
      <c r="L19" s="18">
        <v>1</v>
      </c>
      <c r="M19" s="18">
        <v>1</v>
      </c>
      <c r="N19" s="154" t="str">
        <f t="shared" si="0"/>
        <v>€€€</v>
      </c>
      <c r="O19" s="155">
        <v>1</v>
      </c>
      <c r="P19" s="155"/>
      <c r="Q19" s="19"/>
      <c r="R19" s="155"/>
      <c r="S19" s="72" t="str">
        <f>IF(T_MEASURES[[#This Row],[No risk (0)]]=1,"■","")</f>
        <v>■</v>
      </c>
      <c r="T19" s="73" t="str">
        <f>IF(T_MEASURES[[#This Row],[Low risk (1)]]=1,"■","")</f>
        <v/>
      </c>
      <c r="U19" s="74" t="str">
        <f>IF(T_MEASURES[[#This Row],[Medium risk (2)]]=1,"■","")</f>
        <v/>
      </c>
      <c r="V19" s="71" t="str">
        <f>IF(T_MEASURES[[#This Row],[High risk (3)]]=1,"■","")</f>
        <v/>
      </c>
      <c r="W19" s="18" t="str">
        <f t="shared" si="1"/>
        <v>1. No Risk (Green)</v>
      </c>
      <c r="X19" s="18">
        <f>COUNT(T_MEASURES[[#This Row],[Buildings and public facilities]:[Coordination]])</f>
        <v>1</v>
      </c>
      <c r="Y19" s="18"/>
      <c r="Z19" s="18" t="str">
        <f>IF(T_MEASURES[[#This Row],[Buildings and public facilities]]=1,"Yes","No")</f>
        <v>No</v>
      </c>
      <c r="AA19" s="157">
        <v>1</v>
      </c>
      <c r="AB19" s="157" t="str">
        <f>IF(T_MEASURES[[#This Row],[Urban planning]]=1,"Yes","No")</f>
        <v>Yes</v>
      </c>
      <c r="AC19" s="18"/>
      <c r="AD19" s="18" t="str">
        <f>IF(T_MEASURES[[#This Row],[Culture and Sports]],"Yes","No")</f>
        <v>No</v>
      </c>
      <c r="AE19" s="18"/>
      <c r="AF19" s="18" t="str">
        <f>IF(T_MEASURES[[#This Row],[Tourism]],"Yes","No")</f>
        <v>No</v>
      </c>
      <c r="AG19" s="18"/>
      <c r="AH19" s="18" t="str">
        <f>IF(T_MEASURES[[#This Row],[Occupational risks]],"Yes","No")</f>
        <v>No</v>
      </c>
      <c r="AI19" s="18"/>
      <c r="AJ19" s="18" t="str">
        <f>IF(T_MEASURES[[#This Row],[Education]],"Yes","No")</f>
        <v>No</v>
      </c>
      <c r="AK19" s="18"/>
      <c r="AL19" s="18" t="str">
        <f>IF(T_MEASURES[[#This Row],[Social Services]],"Yes","No")</f>
        <v>No</v>
      </c>
      <c r="AM19" s="18"/>
      <c r="AN19" s="18" t="str">
        <f>IF(T_MEASURES[[#This Row],[Emergency Services and Police]],"Yes","No")</f>
        <v>No</v>
      </c>
      <c r="AO19" s="18"/>
      <c r="AP19" s="18" t="str">
        <f>IF(T_MEASURES[[#This Row],[Parks and gardens (Urban Green Infrastructure)]],"Yes","No")</f>
        <v>No</v>
      </c>
      <c r="AQ19" s="18"/>
      <c r="AR19" s="18" t="str">
        <f>IF(T_MEASURES[[#This Row],[Transport]],"Yes","No")</f>
        <v>No</v>
      </c>
      <c r="AS19" s="158"/>
      <c r="AT19" s="1" t="str">
        <f>IF(T_MEASURES[[#This Row],[Coordination]],"Yes","No")</f>
        <v>No</v>
      </c>
      <c r="AU19" s="2">
        <v>1</v>
      </c>
      <c r="AV19" s="1">
        <v>1</v>
      </c>
      <c r="AW19" s="1">
        <v>1</v>
      </c>
      <c r="AX19" s="1">
        <v>1</v>
      </c>
      <c r="AY19" s="3">
        <v>1</v>
      </c>
      <c r="AZ19" s="86">
        <f>SUMPRODUCT($AT$15:$AX$15,T_MEASURES[[#This Row],[&lt;5.000]:[&gt;100.000]])</f>
        <v>1</v>
      </c>
      <c r="BA19" s="1">
        <v>1</v>
      </c>
      <c r="BB19" s="1"/>
      <c r="BC19" s="1">
        <v>1</v>
      </c>
      <c r="BD19" s="1">
        <v>1</v>
      </c>
      <c r="BE19" s="1">
        <v>1</v>
      </c>
      <c r="BF19" s="1">
        <v>1</v>
      </c>
      <c r="BG19" s="1">
        <v>1</v>
      </c>
      <c r="BH19" s="86" cm="1">
        <f t="array" ref="BH19">SUMPRODUCT(--((T_MEASURES[[#This Row],[Health or social care centers]:[Schools / Educational centers]] + $AZ$15:$BF$15)&gt;0))</f>
        <v>6</v>
      </c>
      <c r="BI19" s="1">
        <v>2</v>
      </c>
      <c r="BJ19" s="1">
        <v>2</v>
      </c>
      <c r="BK19" s="1">
        <v>1</v>
      </c>
      <c r="BL19" s="1">
        <v>1</v>
      </c>
      <c r="BM19" s="1">
        <v>3</v>
      </c>
      <c r="BN19" s="1">
        <v>1</v>
      </c>
      <c r="BO19" s="1">
        <v>2</v>
      </c>
      <c r="BP19" s="1">
        <v>1</v>
      </c>
      <c r="BQ19" s="96" cm="1">
        <f t="array" ref="BQ19">T_MEASURES[[#This Row],[Apply size]]*(SUMPRODUCT(T_MEASURES[[#This Row],[C1_Urban Cooling]:[C8_Time]],TRANSPOSE('2.WEIGHTS'!$L$12:$L$19))+(ROW(C19)-ROW($C$18)+1)*0.0000000001)*100</f>
        <v>162.50000002000002</v>
      </c>
      <c r="BR19" s="21"/>
      <c r="BS19" s="38"/>
    </row>
    <row r="20" spans="1:71" ht="33.6" x14ac:dyDescent="0.3">
      <c r="A20" s="21"/>
      <c r="B20" s="38"/>
      <c r="C20" s="21"/>
      <c r="D20" s="86">
        <f>IF(T_MEASURES[[#This Row],[Weight Criterion]]&lt;=0,"",_xlfn.RANK.EQ(T_MEASURES[[#This Row],[Weight Criterion]],T_MEASURES[Weight Criterion]))</f>
        <v>105</v>
      </c>
      <c r="E20" s="152" t="s">
        <v>131</v>
      </c>
      <c r="F20" s="150" t="s">
        <v>55</v>
      </c>
      <c r="G20" s="150" t="s">
        <v>41</v>
      </c>
      <c r="H20" s="150" t="s">
        <v>132</v>
      </c>
      <c r="I20" s="151" t="s">
        <v>133</v>
      </c>
      <c r="J20" s="151"/>
      <c r="K20" s="153"/>
      <c r="L20" s="18">
        <v>1</v>
      </c>
      <c r="M20" s="18"/>
      <c r="N20" s="154" t="str">
        <f t="shared" si="0"/>
        <v>€€</v>
      </c>
      <c r="O20" s="155">
        <v>1</v>
      </c>
      <c r="P20" s="155">
        <v>1</v>
      </c>
      <c r="Q20" s="19"/>
      <c r="R20" s="155"/>
      <c r="S20" s="72" t="str">
        <f>IF(T_MEASURES[[#This Row],[No risk (0)]]=1,"■","")</f>
        <v>■</v>
      </c>
      <c r="T20" s="73" t="str">
        <f>IF(T_MEASURES[[#This Row],[Low risk (1)]]=1,"■","")</f>
        <v>■</v>
      </c>
      <c r="U20" s="74" t="str">
        <f>IF(T_MEASURES[[#This Row],[Medium risk (2)]]=1,"■","")</f>
        <v/>
      </c>
      <c r="V20" s="71" t="str">
        <f>IF(T_MEASURES[[#This Row],[High risk (3)]]=1,"■","")</f>
        <v/>
      </c>
      <c r="W20" s="18" t="str">
        <f t="shared" si="1"/>
        <v>2. Low (Yellow)</v>
      </c>
      <c r="X20" s="18">
        <f>COUNT(T_MEASURES[[#This Row],[Buildings and public facilities]:[Coordination]])</f>
        <v>1</v>
      </c>
      <c r="Y20" s="156"/>
      <c r="Z20" s="156" t="str">
        <f>IF(T_MEASURES[[#This Row],[Buildings and public facilities]]=1,"Yes","No")</f>
        <v>No</v>
      </c>
      <c r="AA20" s="18"/>
      <c r="AB20" s="18" t="str">
        <f>IF(T_MEASURES[[#This Row],[Urban planning]]=1,"Yes","No")</f>
        <v>No</v>
      </c>
      <c r="AC20" s="18"/>
      <c r="AD20" s="18" t="str">
        <f>IF(T_MEASURES[[#This Row],[Culture and Sports]],"Yes","No")</f>
        <v>No</v>
      </c>
      <c r="AE20" s="18"/>
      <c r="AF20" s="18" t="str">
        <f>IF(T_MEASURES[[#This Row],[Tourism]],"Yes","No")</f>
        <v>No</v>
      </c>
      <c r="AG20" s="18"/>
      <c r="AH20" s="18" t="str">
        <f>IF(T_MEASURES[[#This Row],[Occupational risks]],"Yes","No")</f>
        <v>No</v>
      </c>
      <c r="AI20" s="157">
        <v>1</v>
      </c>
      <c r="AJ20" s="157" t="str">
        <f>IF(T_MEASURES[[#This Row],[Education]],"Yes","No")</f>
        <v>Yes</v>
      </c>
      <c r="AK20" s="18"/>
      <c r="AL20" s="18" t="str">
        <f>IF(T_MEASURES[[#This Row],[Social Services]],"Yes","No")</f>
        <v>No</v>
      </c>
      <c r="AM20" s="18"/>
      <c r="AN20" s="18" t="str">
        <f>IF(T_MEASURES[[#This Row],[Emergency Services and Police]],"Yes","No")</f>
        <v>No</v>
      </c>
      <c r="AO20" s="18"/>
      <c r="AP20" s="18" t="str">
        <f>IF(T_MEASURES[[#This Row],[Parks and gardens (Urban Green Infrastructure)]],"Yes","No")</f>
        <v>No</v>
      </c>
      <c r="AQ20" s="18"/>
      <c r="AR20" s="18" t="str">
        <f>IF(T_MEASURES[[#This Row],[Transport]],"Yes","No")</f>
        <v>No</v>
      </c>
      <c r="AS20" s="158"/>
      <c r="AT20" s="1" t="str">
        <f>IF(T_MEASURES[[#This Row],[Coordination]],"Yes","No")</f>
        <v>No</v>
      </c>
      <c r="AU20" s="2">
        <v>1</v>
      </c>
      <c r="AV20" s="1">
        <v>1</v>
      </c>
      <c r="AW20" s="1">
        <v>1</v>
      </c>
      <c r="AX20" s="1">
        <v>1</v>
      </c>
      <c r="AY20" s="3">
        <v>1</v>
      </c>
      <c r="AZ20" s="86">
        <f>SUMPRODUCT($AT$15:$AX$15,T_MEASURES[[#This Row],[&lt;5.000]:[&gt;100.000]])</f>
        <v>1</v>
      </c>
      <c r="BA20" s="1">
        <v>1</v>
      </c>
      <c r="BB20" s="1">
        <v>1</v>
      </c>
      <c r="BC20" s="1">
        <v>1</v>
      </c>
      <c r="BD20" s="1">
        <v>1</v>
      </c>
      <c r="BE20" s="1">
        <v>1</v>
      </c>
      <c r="BF20" s="1">
        <v>1</v>
      </c>
      <c r="BG20" s="1">
        <v>1</v>
      </c>
      <c r="BH20" s="86" cm="1">
        <f t="array" ref="BH20">SUMPRODUCT(--((T_MEASURES[[#This Row],[Health or social care centers]:[Schools / Educational centers]] + $AZ$15:$BF$15)&gt;0))</f>
        <v>7</v>
      </c>
      <c r="BI20" s="88">
        <v>2</v>
      </c>
      <c r="BJ20" s="88">
        <v>0</v>
      </c>
      <c r="BK20" s="88">
        <v>3</v>
      </c>
      <c r="BL20" s="88">
        <v>2</v>
      </c>
      <c r="BM20" s="88">
        <v>2</v>
      </c>
      <c r="BN20" s="88">
        <v>1</v>
      </c>
      <c r="BO20" s="88">
        <v>2</v>
      </c>
      <c r="BP20" s="88">
        <v>2</v>
      </c>
      <c r="BQ20" s="96" cm="1">
        <f t="array" ref="BQ20">T_MEASURES[[#This Row],[Apply size]]*(SUMPRODUCT(T_MEASURES[[#This Row],[C1_Urban Cooling]:[C8_Time]],TRANSPOSE('2.WEIGHTS'!$L$12:$L$19))+(ROW(C20)-ROW($C$18)+1)*0.0000000001)*100</f>
        <v>175.00000003</v>
      </c>
      <c r="BR20" s="21"/>
      <c r="BS20" s="38"/>
    </row>
    <row r="21" spans="1:71" ht="33.6" x14ac:dyDescent="0.3">
      <c r="A21" s="21"/>
      <c r="B21" s="38"/>
      <c r="C21" s="21"/>
      <c r="D21" s="86">
        <f>IF(T_MEASURES[[#This Row],[Weight Criterion]]&lt;=0,"",_xlfn.RANK.EQ(T_MEASURES[[#This Row],[Weight Criterion]],T_MEASURES[Weight Criterion]))</f>
        <v>9</v>
      </c>
      <c r="E21" s="152" t="s">
        <v>134</v>
      </c>
      <c r="F21" s="150" t="s">
        <v>55</v>
      </c>
      <c r="G21" s="150" t="s">
        <v>42</v>
      </c>
      <c r="H21" s="150" t="s">
        <v>135</v>
      </c>
      <c r="I21" s="151" t="s">
        <v>136</v>
      </c>
      <c r="J21" s="151"/>
      <c r="K21" s="153">
        <v>1</v>
      </c>
      <c r="L21" s="18"/>
      <c r="M21" s="18"/>
      <c r="N21" s="154" t="str">
        <f t="shared" si="0"/>
        <v>€</v>
      </c>
      <c r="O21" s="155">
        <v>1</v>
      </c>
      <c r="P21" s="155"/>
      <c r="Q21" s="19"/>
      <c r="R21" s="155"/>
      <c r="S21" s="72" t="str">
        <f>IF(T_MEASURES[[#This Row],[No risk (0)]]=1,"■","")</f>
        <v>■</v>
      </c>
      <c r="T21" s="73" t="str">
        <f>IF(T_MEASURES[[#This Row],[Low risk (1)]]=1,"■","")</f>
        <v/>
      </c>
      <c r="U21" s="74" t="str">
        <f>IF(T_MEASURES[[#This Row],[Medium risk (2)]]=1,"■","")</f>
        <v/>
      </c>
      <c r="V21" s="71" t="str">
        <f>IF(T_MEASURES[[#This Row],[High risk (3)]]=1,"■","")</f>
        <v/>
      </c>
      <c r="W21" s="18" t="str">
        <f t="shared" si="1"/>
        <v>1. No Risk (Green)</v>
      </c>
      <c r="X21" s="18">
        <f>COUNT(T_MEASURES[[#This Row],[Buildings and public facilities]:[Coordination]])</f>
        <v>2</v>
      </c>
      <c r="Y21" s="157">
        <v>1</v>
      </c>
      <c r="Z21" s="157" t="str">
        <f>IF(T_MEASURES[[#This Row],[Buildings and public facilities]]=1,"Yes","No")</f>
        <v>Yes</v>
      </c>
      <c r="AA21" s="18"/>
      <c r="AB21" s="18" t="str">
        <f>IF(T_MEASURES[[#This Row],[Urban planning]]=1,"Yes","No")</f>
        <v>No</v>
      </c>
      <c r="AC21" s="18"/>
      <c r="AD21" s="18" t="str">
        <f>IF(T_MEASURES[[#This Row],[Culture and Sports]],"Yes","No")</f>
        <v>No</v>
      </c>
      <c r="AE21" s="18"/>
      <c r="AF21" s="18" t="str">
        <f>IF(T_MEASURES[[#This Row],[Tourism]],"Yes","No")</f>
        <v>No</v>
      </c>
      <c r="AG21" s="18"/>
      <c r="AH21" s="18" t="str">
        <f>IF(T_MEASURES[[#This Row],[Occupational risks]],"Yes","No")</f>
        <v>No</v>
      </c>
      <c r="AI21" s="157">
        <v>1</v>
      </c>
      <c r="AJ21" s="157" t="str">
        <f>IF(T_MEASURES[[#This Row],[Education]],"Yes","No")</f>
        <v>Yes</v>
      </c>
      <c r="AK21" s="18"/>
      <c r="AL21" s="18" t="str">
        <f>IF(T_MEASURES[[#This Row],[Social Services]],"Yes","No")</f>
        <v>No</v>
      </c>
      <c r="AM21" s="18"/>
      <c r="AN21" s="18" t="str">
        <f>IF(T_MEASURES[[#This Row],[Emergency Services and Police]],"Yes","No")</f>
        <v>No</v>
      </c>
      <c r="AO21" s="18"/>
      <c r="AP21" s="18" t="str">
        <f>IF(T_MEASURES[[#This Row],[Parks and gardens (Urban Green Infrastructure)]],"Yes","No")</f>
        <v>No</v>
      </c>
      <c r="AQ21" s="18"/>
      <c r="AR21" s="18" t="str">
        <f>IF(T_MEASURES[[#This Row],[Transport]],"Yes","No")</f>
        <v>No</v>
      </c>
      <c r="AS21" s="158"/>
      <c r="AT21" s="1" t="str">
        <f>IF(T_MEASURES[[#This Row],[Coordination]],"Yes","No")</f>
        <v>No</v>
      </c>
      <c r="AU21" s="2">
        <v>1</v>
      </c>
      <c r="AV21" s="1">
        <v>1</v>
      </c>
      <c r="AW21" s="1">
        <v>1</v>
      </c>
      <c r="AX21" s="1">
        <v>1</v>
      </c>
      <c r="AY21" s="3">
        <v>1</v>
      </c>
      <c r="AZ21" s="86">
        <f>SUMPRODUCT($AT$15:$AX$15,T_MEASURES[[#This Row],[&lt;5.000]:[&gt;100.000]])</f>
        <v>1</v>
      </c>
      <c r="BA21" s="1">
        <v>1</v>
      </c>
      <c r="BB21" s="1">
        <v>1</v>
      </c>
      <c r="BC21" s="1">
        <v>1</v>
      </c>
      <c r="BD21" s="1">
        <v>1</v>
      </c>
      <c r="BE21" s="1">
        <v>1</v>
      </c>
      <c r="BF21" s="1">
        <v>1</v>
      </c>
      <c r="BG21" s="1">
        <v>1</v>
      </c>
      <c r="BH21" s="86" cm="1">
        <f t="array" ref="BH21">SUMPRODUCT(--((T_MEASURES[[#This Row],[Health or social care centers]:[Schools / Educational centers]] + $AZ$15:$BF$15)&gt;0))</f>
        <v>7</v>
      </c>
      <c r="BI21" s="1">
        <v>0</v>
      </c>
      <c r="BJ21" s="1">
        <v>0</v>
      </c>
      <c r="BK21" s="1">
        <v>3</v>
      </c>
      <c r="BL21" s="1">
        <v>3</v>
      </c>
      <c r="BM21" s="1">
        <v>3</v>
      </c>
      <c r="BN21" s="1">
        <v>2</v>
      </c>
      <c r="BO21" s="1">
        <v>3</v>
      </c>
      <c r="BP21" s="1">
        <v>3</v>
      </c>
      <c r="BQ21" s="96" cm="1">
        <f t="array" ref="BQ21">T_MEASURES[[#This Row],[Apply size]]*(SUMPRODUCT(T_MEASURES[[#This Row],[C1_Urban Cooling]:[C8_Time]],TRANSPOSE('2.WEIGHTS'!$L$12:$L$19))+(ROW(C21)-ROW($C$18)+1)*0.0000000001)*100</f>
        <v>212.50000004</v>
      </c>
      <c r="BR21" s="21"/>
      <c r="BS21" s="38"/>
    </row>
    <row r="22" spans="1:71" ht="33.6" x14ac:dyDescent="0.3">
      <c r="A22" s="21"/>
      <c r="B22" s="38"/>
      <c r="C22" s="21"/>
      <c r="D22" s="86">
        <f>IF(T_MEASURES[[#This Row],[Weight Criterion]]&lt;=0,"",_xlfn.RANK.EQ(T_MEASURES[[#This Row],[Weight Criterion]],T_MEASURES[Weight Criterion]))</f>
        <v>104</v>
      </c>
      <c r="E22" s="152" t="s">
        <v>137</v>
      </c>
      <c r="F22" s="150" t="s">
        <v>55</v>
      </c>
      <c r="G22" s="150" t="s">
        <v>41</v>
      </c>
      <c r="H22" s="150" t="s">
        <v>129</v>
      </c>
      <c r="I22" s="150" t="s">
        <v>138</v>
      </c>
      <c r="J22" s="150"/>
      <c r="K22" s="153">
        <v>1</v>
      </c>
      <c r="L22" s="18"/>
      <c r="M22" s="18"/>
      <c r="N22" s="154" t="str">
        <f t="shared" si="0"/>
        <v>€</v>
      </c>
      <c r="O22" s="155">
        <v>1</v>
      </c>
      <c r="P22" s="155"/>
      <c r="Q22" s="19"/>
      <c r="R22" s="155"/>
      <c r="S22" s="72" t="str">
        <f>IF(T_MEASURES[[#This Row],[No risk (0)]]=1,"■","")</f>
        <v>■</v>
      </c>
      <c r="T22" s="73" t="str">
        <f>IF(T_MEASURES[[#This Row],[Low risk (1)]]=1,"■","")</f>
        <v/>
      </c>
      <c r="U22" s="74" t="str">
        <f>IF(T_MEASURES[[#This Row],[Medium risk (2)]]=1,"■","")</f>
        <v/>
      </c>
      <c r="V22" s="71" t="str">
        <f>IF(T_MEASURES[[#This Row],[High risk (3)]]=1,"■","")</f>
        <v/>
      </c>
      <c r="W22" s="18" t="str">
        <f t="shared" si="1"/>
        <v>1. No Risk (Green)</v>
      </c>
      <c r="X22" s="18">
        <f>COUNT(T_MEASURES[[#This Row],[Buildings and public facilities]:[Coordination]])</f>
        <v>2</v>
      </c>
      <c r="Y22" s="18"/>
      <c r="Z22" s="18" t="str">
        <f>IF(T_MEASURES[[#This Row],[Buildings and public facilities]]=1,"Yes","No")</f>
        <v>No</v>
      </c>
      <c r="AA22" s="157">
        <v>1</v>
      </c>
      <c r="AB22" s="157" t="str">
        <f>IF(T_MEASURES[[#This Row],[Urban planning]]=1,"Yes","No")</f>
        <v>Yes</v>
      </c>
      <c r="AC22" s="18"/>
      <c r="AD22" s="18" t="str">
        <f>IF(T_MEASURES[[#This Row],[Culture and Sports]],"Yes","No")</f>
        <v>No</v>
      </c>
      <c r="AE22" s="18"/>
      <c r="AF22" s="18" t="str">
        <f>IF(T_MEASURES[[#This Row],[Tourism]],"Yes","No")</f>
        <v>No</v>
      </c>
      <c r="AG22" s="18"/>
      <c r="AH22" s="18" t="str">
        <f>IF(T_MEASURES[[#This Row],[Occupational risks]],"Yes","No")</f>
        <v>No</v>
      </c>
      <c r="AI22" s="18"/>
      <c r="AJ22" s="18" t="str">
        <f>IF(T_MEASURES[[#This Row],[Education]],"Yes","No")</f>
        <v>No</v>
      </c>
      <c r="AK22" s="18"/>
      <c r="AL22" s="18" t="str">
        <f>IF(T_MEASURES[[#This Row],[Social Services]],"Yes","No")</f>
        <v>No</v>
      </c>
      <c r="AM22" s="18"/>
      <c r="AN22" s="18" t="str">
        <f>IF(T_MEASURES[[#This Row],[Emergency Services and Police]],"Yes","No")</f>
        <v>No</v>
      </c>
      <c r="AO22" s="157">
        <v>1</v>
      </c>
      <c r="AP22" s="157" t="str">
        <f>IF(T_MEASURES[[#This Row],[Parks and gardens (Urban Green Infrastructure)]],"Yes","No")</f>
        <v>Yes</v>
      </c>
      <c r="AQ22" s="18"/>
      <c r="AR22" s="18" t="str">
        <f>IF(T_MEASURES[[#This Row],[Transport]],"Yes","No")</f>
        <v>No</v>
      </c>
      <c r="AS22" s="158"/>
      <c r="AT22" s="1" t="str">
        <f>IF(T_MEASURES[[#This Row],[Coordination]],"Yes","No")</f>
        <v>No</v>
      </c>
      <c r="AU22" s="2">
        <v>1</v>
      </c>
      <c r="AV22" s="1">
        <v>1</v>
      </c>
      <c r="AW22" s="1">
        <v>1</v>
      </c>
      <c r="AX22" s="1">
        <v>1</v>
      </c>
      <c r="AY22" s="3">
        <v>1</v>
      </c>
      <c r="AZ22" s="86">
        <f>SUMPRODUCT($AT$15:$AX$15,T_MEASURES[[#This Row],[&lt;5.000]:[&gt;100.000]])</f>
        <v>1</v>
      </c>
      <c r="BA22" s="1">
        <v>1</v>
      </c>
      <c r="BB22" s="1">
        <v>1</v>
      </c>
      <c r="BC22" s="1">
        <v>1</v>
      </c>
      <c r="BD22" s="1">
        <v>1</v>
      </c>
      <c r="BE22" s="1">
        <v>1</v>
      </c>
      <c r="BF22" s="1">
        <v>1</v>
      </c>
      <c r="BG22" s="1">
        <v>1</v>
      </c>
      <c r="BH22" s="86" cm="1">
        <f t="array" ref="BH22">SUMPRODUCT(--((T_MEASURES[[#This Row],[Health or social care centers]:[Schools / Educational centers]] + $AZ$15:$BF$15)&gt;0))</f>
        <v>7</v>
      </c>
      <c r="BI22" s="88">
        <v>0</v>
      </c>
      <c r="BJ22" s="88">
        <v>0</v>
      </c>
      <c r="BK22" s="88">
        <v>1</v>
      </c>
      <c r="BL22" s="88">
        <v>2</v>
      </c>
      <c r="BM22" s="88">
        <v>3</v>
      </c>
      <c r="BN22" s="88">
        <v>2</v>
      </c>
      <c r="BO22" s="88">
        <v>3</v>
      </c>
      <c r="BP22" s="88">
        <v>3</v>
      </c>
      <c r="BQ22" s="96" cm="1">
        <f t="array" ref="BQ22">T_MEASURES[[#This Row],[Apply size]]*(SUMPRODUCT(T_MEASURES[[#This Row],[C1_Urban Cooling]:[C8_Time]],TRANSPOSE('2.WEIGHTS'!$L$12:$L$19))+(ROW(C22)-ROW($C$18)+1)*0.0000000001)*100</f>
        <v>175.00000005000001</v>
      </c>
      <c r="BR22" s="21"/>
      <c r="BS22" s="38"/>
    </row>
    <row r="23" spans="1:71" ht="33.6" x14ac:dyDescent="0.3">
      <c r="A23" s="21"/>
      <c r="B23" s="38"/>
      <c r="C23" s="21"/>
      <c r="D23" s="86">
        <f>IF(T_MEASURES[[#This Row],[Weight Criterion]]&lt;=0,"",_xlfn.RANK.EQ(T_MEASURES[[#This Row],[Weight Criterion]],T_MEASURES[Weight Criterion]))</f>
        <v>127</v>
      </c>
      <c r="E23" s="152" t="s">
        <v>139</v>
      </c>
      <c r="F23" s="150" t="s">
        <v>55</v>
      </c>
      <c r="G23" s="150" t="s">
        <v>41</v>
      </c>
      <c r="H23" s="150" t="s">
        <v>132</v>
      </c>
      <c r="I23" s="150" t="s">
        <v>140</v>
      </c>
      <c r="J23" s="150"/>
      <c r="K23" s="153">
        <v>1</v>
      </c>
      <c r="L23" s="18"/>
      <c r="M23" s="18"/>
      <c r="N23" s="154" t="str">
        <f t="shared" si="0"/>
        <v>€</v>
      </c>
      <c r="O23" s="155">
        <v>1</v>
      </c>
      <c r="P23" s="155"/>
      <c r="Q23" s="19"/>
      <c r="R23" s="155"/>
      <c r="S23" s="72" t="str">
        <f>IF(T_MEASURES[[#This Row],[No risk (0)]]=1,"■","")</f>
        <v>■</v>
      </c>
      <c r="T23" s="73" t="str">
        <f>IF(T_MEASURES[[#This Row],[Low risk (1)]]=1,"■","")</f>
        <v/>
      </c>
      <c r="U23" s="74" t="str">
        <f>IF(T_MEASURES[[#This Row],[Medium risk (2)]]=1,"■","")</f>
        <v/>
      </c>
      <c r="V23" s="71" t="str">
        <f>IF(T_MEASURES[[#This Row],[High risk (3)]]=1,"■","")</f>
        <v/>
      </c>
      <c r="W23" s="18" t="str">
        <f t="shared" si="1"/>
        <v>1. No Risk (Green)</v>
      </c>
      <c r="X23" s="18">
        <f>COUNT(T_MEASURES[[#This Row],[Buildings and public facilities]:[Coordination]])</f>
        <v>1</v>
      </c>
      <c r="Y23" s="18"/>
      <c r="Z23" s="18" t="str">
        <f>IF(T_MEASURES[[#This Row],[Buildings and public facilities]]=1,"Yes","No")</f>
        <v>No</v>
      </c>
      <c r="AA23" s="157">
        <v>1</v>
      </c>
      <c r="AB23" s="157" t="str">
        <f>IF(T_MEASURES[[#This Row],[Urban planning]]=1,"Yes","No")</f>
        <v>Yes</v>
      </c>
      <c r="AC23" s="18"/>
      <c r="AD23" s="18" t="str">
        <f>IF(T_MEASURES[[#This Row],[Culture and Sports]],"Yes","No")</f>
        <v>No</v>
      </c>
      <c r="AE23" s="18"/>
      <c r="AF23" s="18" t="str">
        <f>IF(T_MEASURES[[#This Row],[Tourism]],"Yes","No")</f>
        <v>No</v>
      </c>
      <c r="AG23" s="18"/>
      <c r="AH23" s="18" t="str">
        <f>IF(T_MEASURES[[#This Row],[Occupational risks]],"Yes","No")</f>
        <v>No</v>
      </c>
      <c r="AI23" s="18"/>
      <c r="AJ23" s="18" t="str">
        <f>IF(T_MEASURES[[#This Row],[Education]],"Yes","No")</f>
        <v>No</v>
      </c>
      <c r="AK23" s="18"/>
      <c r="AL23" s="18" t="str">
        <f>IF(T_MEASURES[[#This Row],[Social Services]],"Yes","No")</f>
        <v>No</v>
      </c>
      <c r="AM23" s="18"/>
      <c r="AN23" s="18" t="str">
        <f>IF(T_MEASURES[[#This Row],[Emergency Services and Police]],"Yes","No")</f>
        <v>No</v>
      </c>
      <c r="AO23" s="18"/>
      <c r="AP23" s="18" t="str">
        <f>IF(T_MEASURES[[#This Row],[Parks and gardens (Urban Green Infrastructure)]],"Yes","No")</f>
        <v>No</v>
      </c>
      <c r="AQ23" s="18"/>
      <c r="AR23" s="18" t="str">
        <f>IF(T_MEASURES[[#This Row],[Transport]],"Yes","No")</f>
        <v>No</v>
      </c>
      <c r="AS23" s="158"/>
      <c r="AT23" s="1" t="str">
        <f>IF(T_MEASURES[[#This Row],[Coordination]],"Yes","No")</f>
        <v>No</v>
      </c>
      <c r="AU23" s="2">
        <v>1</v>
      </c>
      <c r="AV23" s="1">
        <v>1</v>
      </c>
      <c r="AW23" s="1">
        <v>1</v>
      </c>
      <c r="AX23" s="1">
        <v>1</v>
      </c>
      <c r="AY23" s="3">
        <v>1</v>
      </c>
      <c r="AZ23" s="86">
        <f>SUMPRODUCT($AT$15:$AX$15,T_MEASURES[[#This Row],[&lt;5.000]:[&gt;100.000]])</f>
        <v>1</v>
      </c>
      <c r="BA23" s="1">
        <v>1</v>
      </c>
      <c r="BB23" s="1">
        <v>1</v>
      </c>
      <c r="BC23" s="1">
        <v>1</v>
      </c>
      <c r="BD23" s="1">
        <v>1</v>
      </c>
      <c r="BE23" s="1">
        <v>1</v>
      </c>
      <c r="BF23" s="1">
        <v>1</v>
      </c>
      <c r="BG23" s="1">
        <v>1</v>
      </c>
      <c r="BH23" s="86" cm="1">
        <f t="array" ref="BH23">SUMPRODUCT(--((T_MEASURES[[#This Row],[Health or social care centers]:[Schools / Educational centers]] + $AZ$15:$BF$15)&gt;0))</f>
        <v>7</v>
      </c>
      <c r="BI23" s="1">
        <v>2</v>
      </c>
      <c r="BJ23" s="1">
        <v>1</v>
      </c>
      <c r="BK23" s="1">
        <v>1</v>
      </c>
      <c r="BL23" s="1">
        <v>2</v>
      </c>
      <c r="BM23" s="1">
        <v>1</v>
      </c>
      <c r="BN23" s="1">
        <v>1</v>
      </c>
      <c r="BO23" s="1">
        <v>1</v>
      </c>
      <c r="BP23" s="1">
        <v>3</v>
      </c>
      <c r="BQ23" s="96" cm="1">
        <f t="array" ref="BQ23">T_MEASURES[[#This Row],[Apply size]]*(SUMPRODUCT(T_MEASURES[[#This Row],[C1_Urban Cooling]:[C8_Time]],TRANSPOSE('2.WEIGHTS'!$L$12:$L$19))+(ROW(C23)-ROW($C$18)+1)*0.0000000001)*100</f>
        <v>150.00000005999999</v>
      </c>
      <c r="BR23" s="21"/>
      <c r="BS23" s="38"/>
    </row>
    <row r="24" spans="1:71" ht="33.6" x14ac:dyDescent="0.3">
      <c r="A24" s="21"/>
      <c r="B24" s="38"/>
      <c r="C24" s="21"/>
      <c r="D24" s="86">
        <f>IF(T_MEASURES[[#This Row],[Weight Criterion]]&lt;=0,"",_xlfn.RANK.EQ(T_MEASURES[[#This Row],[Weight Criterion]],T_MEASURES[Weight Criterion]))</f>
        <v>135</v>
      </c>
      <c r="E24" s="152" t="s">
        <v>141</v>
      </c>
      <c r="F24" s="150" t="s">
        <v>55</v>
      </c>
      <c r="G24" s="150" t="s">
        <v>41</v>
      </c>
      <c r="H24" s="150" t="s">
        <v>129</v>
      </c>
      <c r="I24" s="150" t="s">
        <v>415</v>
      </c>
      <c r="J24" s="150"/>
      <c r="K24" s="153"/>
      <c r="L24" s="18">
        <v>1</v>
      </c>
      <c r="M24" s="18">
        <v>1</v>
      </c>
      <c r="N24" s="154" t="str">
        <f t="shared" si="0"/>
        <v>€€€</v>
      </c>
      <c r="O24" s="155">
        <v>1</v>
      </c>
      <c r="P24" s="155"/>
      <c r="Q24" s="19"/>
      <c r="R24" s="155"/>
      <c r="S24" s="72" t="str">
        <f>IF(T_MEASURES[[#This Row],[No risk (0)]]=1,"■","")</f>
        <v>■</v>
      </c>
      <c r="T24" s="73" t="str">
        <f>IF(T_MEASURES[[#This Row],[Low risk (1)]]=1,"■","")</f>
        <v/>
      </c>
      <c r="U24" s="74" t="str">
        <f>IF(T_MEASURES[[#This Row],[Medium risk (2)]]=1,"■","")</f>
        <v/>
      </c>
      <c r="V24" s="71" t="str">
        <f>IF(T_MEASURES[[#This Row],[High risk (3)]]=1,"■","")</f>
        <v/>
      </c>
      <c r="W24" s="18" t="str">
        <f t="shared" si="1"/>
        <v>1. No Risk (Green)</v>
      </c>
      <c r="X24" s="18">
        <f>COUNT(T_MEASURES[[#This Row],[Buildings and public facilities]:[Coordination]])</f>
        <v>2</v>
      </c>
      <c r="Y24" s="18"/>
      <c r="Z24" s="18" t="str">
        <f>IF(T_MEASURES[[#This Row],[Buildings and public facilities]]=1,"Yes","No")</f>
        <v>No</v>
      </c>
      <c r="AA24" s="157">
        <v>1</v>
      </c>
      <c r="AB24" s="157" t="str">
        <f>IF(T_MEASURES[[#This Row],[Urban planning]]=1,"Yes","No")</f>
        <v>Yes</v>
      </c>
      <c r="AC24" s="18"/>
      <c r="AD24" s="18" t="str">
        <f>IF(T_MEASURES[[#This Row],[Culture and Sports]],"Yes","No")</f>
        <v>No</v>
      </c>
      <c r="AE24" s="18"/>
      <c r="AF24" s="18" t="str">
        <f>IF(T_MEASURES[[#This Row],[Tourism]],"Yes","No")</f>
        <v>No</v>
      </c>
      <c r="AG24" s="18"/>
      <c r="AH24" s="18" t="str">
        <f>IF(T_MEASURES[[#This Row],[Occupational risks]],"Yes","No")</f>
        <v>No</v>
      </c>
      <c r="AI24" s="18"/>
      <c r="AJ24" s="18" t="str">
        <f>IF(T_MEASURES[[#This Row],[Education]],"Yes","No")</f>
        <v>No</v>
      </c>
      <c r="AK24" s="18"/>
      <c r="AL24" s="18" t="str">
        <f>IF(T_MEASURES[[#This Row],[Social Services]],"Yes","No")</f>
        <v>No</v>
      </c>
      <c r="AM24" s="18"/>
      <c r="AN24" s="18" t="str">
        <f>IF(T_MEASURES[[#This Row],[Emergency Services and Police]],"Yes","No")</f>
        <v>No</v>
      </c>
      <c r="AO24" s="157">
        <v>1</v>
      </c>
      <c r="AP24" s="157" t="str">
        <f>IF(T_MEASURES[[#This Row],[Parks and gardens (Urban Green Infrastructure)]],"Yes","No")</f>
        <v>Yes</v>
      </c>
      <c r="AQ24" s="18"/>
      <c r="AR24" s="18" t="str">
        <f>IF(T_MEASURES[[#This Row],[Transport]],"Yes","No")</f>
        <v>No</v>
      </c>
      <c r="AS24" s="158"/>
      <c r="AT24" s="1" t="str">
        <f>IF(T_MEASURES[[#This Row],[Coordination]],"Yes","No")</f>
        <v>No</v>
      </c>
      <c r="AU24" s="2">
        <v>1</v>
      </c>
      <c r="AV24" s="1">
        <v>1</v>
      </c>
      <c r="AW24" s="1">
        <v>1</v>
      </c>
      <c r="AX24" s="1">
        <v>1</v>
      </c>
      <c r="AY24" s="3">
        <v>1</v>
      </c>
      <c r="AZ24" s="86">
        <f>SUMPRODUCT($AT$15:$AX$15,T_MEASURES[[#This Row],[&lt;5.000]:[&gt;100.000]])</f>
        <v>1</v>
      </c>
      <c r="BA24" s="1">
        <v>1</v>
      </c>
      <c r="BB24" s="1">
        <v>1</v>
      </c>
      <c r="BC24" s="1">
        <v>1</v>
      </c>
      <c r="BD24" s="1">
        <v>1</v>
      </c>
      <c r="BE24" s="1">
        <v>1</v>
      </c>
      <c r="BF24" s="1">
        <v>1</v>
      </c>
      <c r="BG24" s="1">
        <v>1</v>
      </c>
      <c r="BH24" s="86" cm="1">
        <f t="array" ref="BH24">SUMPRODUCT(--((T_MEASURES[[#This Row],[Health or social care centers]:[Schools / Educational centers]] + $AZ$15:$BF$15)&gt;0))</f>
        <v>7</v>
      </c>
      <c r="BI24" s="88">
        <v>1</v>
      </c>
      <c r="BJ24" s="88">
        <v>2</v>
      </c>
      <c r="BK24" s="88">
        <v>1</v>
      </c>
      <c r="BL24" s="88">
        <v>1</v>
      </c>
      <c r="BM24" s="88">
        <v>2</v>
      </c>
      <c r="BN24" s="88">
        <v>1</v>
      </c>
      <c r="BO24" s="88">
        <v>1</v>
      </c>
      <c r="BP24" s="88">
        <v>1</v>
      </c>
      <c r="BQ24" s="96" cm="1">
        <f t="array" ref="BQ24">T_MEASURES[[#This Row],[Apply size]]*(SUMPRODUCT(T_MEASURES[[#This Row],[C1_Urban Cooling]:[C8_Time]],TRANSPOSE('2.WEIGHTS'!$L$12:$L$19))+(ROW(C24)-ROW($C$18)+1)*0.0000000001)*100</f>
        <v>125.00000007</v>
      </c>
      <c r="BR24" s="21"/>
      <c r="BS24" s="38"/>
    </row>
    <row r="25" spans="1:71" ht="33.6" x14ac:dyDescent="0.3">
      <c r="A25" s="21"/>
      <c r="B25" s="38"/>
      <c r="C25" s="21"/>
      <c r="D25" s="86">
        <f>IF(T_MEASURES[[#This Row],[Weight Criterion]]&lt;=0,"",_xlfn.RANK.EQ(T_MEASURES[[#This Row],[Weight Criterion]],T_MEASURES[Weight Criterion]))</f>
        <v>134</v>
      </c>
      <c r="E25" s="152" t="s">
        <v>142</v>
      </c>
      <c r="F25" s="150" t="s">
        <v>55</v>
      </c>
      <c r="G25" s="150" t="s">
        <v>41</v>
      </c>
      <c r="H25" s="150" t="s">
        <v>129</v>
      </c>
      <c r="I25" s="150" t="s">
        <v>143</v>
      </c>
      <c r="J25" s="150"/>
      <c r="K25" s="153"/>
      <c r="L25" s="18">
        <v>1</v>
      </c>
      <c r="M25" s="18">
        <v>1</v>
      </c>
      <c r="N25" s="154" t="str">
        <f t="shared" si="0"/>
        <v>€€€</v>
      </c>
      <c r="O25" s="155">
        <v>1</v>
      </c>
      <c r="P25" s="155"/>
      <c r="Q25" s="19"/>
      <c r="R25" s="155"/>
      <c r="S25" s="72" t="str">
        <f>IF(T_MEASURES[[#This Row],[No risk (0)]]=1,"■","")</f>
        <v>■</v>
      </c>
      <c r="T25" s="73" t="str">
        <f>IF(T_MEASURES[[#This Row],[Low risk (1)]]=1,"■","")</f>
        <v/>
      </c>
      <c r="U25" s="74" t="str">
        <f>IF(T_MEASURES[[#This Row],[Medium risk (2)]]=1,"■","")</f>
        <v/>
      </c>
      <c r="V25" s="71" t="str">
        <f>IF(T_MEASURES[[#This Row],[High risk (3)]]=1,"■","")</f>
        <v/>
      </c>
      <c r="W25" s="18" t="str">
        <f t="shared" si="1"/>
        <v>1. No Risk (Green)</v>
      </c>
      <c r="X25" s="18">
        <f>COUNT(T_MEASURES[[#This Row],[Buildings and public facilities]:[Coordination]])</f>
        <v>3</v>
      </c>
      <c r="Y25" s="157">
        <v>1</v>
      </c>
      <c r="Z25" s="157" t="str">
        <f>IF(T_MEASURES[[#This Row],[Buildings and public facilities]]=1,"Yes","No")</f>
        <v>Yes</v>
      </c>
      <c r="AA25" s="157">
        <v>1</v>
      </c>
      <c r="AB25" s="157" t="str">
        <f>IF(T_MEASURES[[#This Row],[Urban planning]]=1,"Yes","No")</f>
        <v>Yes</v>
      </c>
      <c r="AC25" s="18"/>
      <c r="AD25" s="18" t="str">
        <f>IF(T_MEASURES[[#This Row],[Culture and Sports]],"Yes","No")</f>
        <v>No</v>
      </c>
      <c r="AE25" s="18"/>
      <c r="AF25" s="18" t="str">
        <f>IF(T_MEASURES[[#This Row],[Tourism]],"Yes","No")</f>
        <v>No</v>
      </c>
      <c r="AG25" s="18"/>
      <c r="AH25" s="18" t="str">
        <f>IF(T_MEASURES[[#This Row],[Occupational risks]],"Yes","No")</f>
        <v>No</v>
      </c>
      <c r="AI25" s="18"/>
      <c r="AJ25" s="18" t="str">
        <f>IF(T_MEASURES[[#This Row],[Education]],"Yes","No")</f>
        <v>No</v>
      </c>
      <c r="AK25" s="18"/>
      <c r="AL25" s="18" t="str">
        <f>IF(T_MEASURES[[#This Row],[Social Services]],"Yes","No")</f>
        <v>No</v>
      </c>
      <c r="AM25" s="18"/>
      <c r="AN25" s="18" t="str">
        <f>IF(T_MEASURES[[#This Row],[Emergency Services and Police]],"Yes","No")</f>
        <v>No</v>
      </c>
      <c r="AO25" s="157">
        <v>1</v>
      </c>
      <c r="AP25" s="157" t="str">
        <f>IF(T_MEASURES[[#This Row],[Parks and gardens (Urban Green Infrastructure)]],"Yes","No")</f>
        <v>Yes</v>
      </c>
      <c r="AQ25" s="18"/>
      <c r="AR25" s="18" t="str">
        <f>IF(T_MEASURES[[#This Row],[Transport]],"Yes","No")</f>
        <v>No</v>
      </c>
      <c r="AS25" s="158"/>
      <c r="AT25" s="1" t="str">
        <f>IF(T_MEASURES[[#This Row],[Coordination]],"Yes","No")</f>
        <v>No</v>
      </c>
      <c r="AU25" s="2">
        <v>1</v>
      </c>
      <c r="AV25" s="1">
        <v>1</v>
      </c>
      <c r="AW25" s="1">
        <v>1</v>
      </c>
      <c r="AX25" s="1">
        <v>1</v>
      </c>
      <c r="AY25" s="3">
        <v>1</v>
      </c>
      <c r="AZ25" s="86">
        <f>SUMPRODUCT($AT$15:$AX$15,T_MEASURES[[#This Row],[&lt;5.000]:[&gt;100.000]])</f>
        <v>1</v>
      </c>
      <c r="BA25" s="1">
        <v>1</v>
      </c>
      <c r="BB25" s="1"/>
      <c r="BC25" s="1">
        <v>1</v>
      </c>
      <c r="BD25" s="1">
        <v>1</v>
      </c>
      <c r="BE25" s="1">
        <v>1</v>
      </c>
      <c r="BF25" s="1">
        <v>1</v>
      </c>
      <c r="BG25" s="1">
        <v>1</v>
      </c>
      <c r="BH25" s="86" cm="1">
        <f t="array" ref="BH25">SUMPRODUCT(--((T_MEASURES[[#This Row],[Health or social care centers]:[Schools / Educational centers]] + $AZ$15:$BF$15)&gt;0))</f>
        <v>6</v>
      </c>
      <c r="BI25" s="1">
        <v>2</v>
      </c>
      <c r="BJ25" s="1">
        <v>2</v>
      </c>
      <c r="BK25" s="1">
        <v>1</v>
      </c>
      <c r="BL25" s="1">
        <v>2</v>
      </c>
      <c r="BM25" s="1">
        <v>1</v>
      </c>
      <c r="BN25" s="1">
        <v>1</v>
      </c>
      <c r="BO25" s="1">
        <v>0</v>
      </c>
      <c r="BP25" s="1">
        <v>1</v>
      </c>
      <c r="BQ25" s="96" cm="1">
        <f t="array" ref="BQ25">T_MEASURES[[#This Row],[Apply size]]*(SUMPRODUCT(T_MEASURES[[#This Row],[C1_Urban Cooling]:[C8_Time]],TRANSPOSE('2.WEIGHTS'!$L$12:$L$19))+(ROW(C25)-ROW($C$18)+1)*0.0000000001)*100</f>
        <v>125.00000008000001</v>
      </c>
      <c r="BR25" s="21"/>
      <c r="BS25" s="38"/>
    </row>
    <row r="26" spans="1:71" ht="33.6" x14ac:dyDescent="0.3">
      <c r="A26" s="21"/>
      <c r="B26" s="38"/>
      <c r="C26" s="21"/>
      <c r="D26" s="86">
        <f>IF(T_MEASURES[[#This Row],[Weight Criterion]]&lt;=0,"",_xlfn.RANK.EQ(T_MEASURES[[#This Row],[Weight Criterion]],T_MEASURES[Weight Criterion]))</f>
        <v>82</v>
      </c>
      <c r="E26" s="152" t="s">
        <v>144</v>
      </c>
      <c r="F26" s="150" t="s">
        <v>55</v>
      </c>
      <c r="G26" s="150" t="s">
        <v>44</v>
      </c>
      <c r="H26" s="150" t="s">
        <v>145</v>
      </c>
      <c r="I26" s="150" t="s">
        <v>146</v>
      </c>
      <c r="J26" s="150"/>
      <c r="K26" s="153">
        <v>1</v>
      </c>
      <c r="L26" s="18"/>
      <c r="M26" s="18"/>
      <c r="N26" s="154" t="str">
        <f t="shared" si="0"/>
        <v>€</v>
      </c>
      <c r="O26" s="155">
        <v>1</v>
      </c>
      <c r="P26" s="155"/>
      <c r="Q26" s="19"/>
      <c r="R26" s="155"/>
      <c r="S26" s="72" t="str">
        <f>IF(T_MEASURES[[#This Row],[No risk (0)]]=1,"■","")</f>
        <v>■</v>
      </c>
      <c r="T26" s="73" t="str">
        <f>IF(T_MEASURES[[#This Row],[Low risk (1)]]=1,"■","")</f>
        <v/>
      </c>
      <c r="U26" s="74" t="str">
        <f>IF(T_MEASURES[[#This Row],[Medium risk (2)]]=1,"■","")</f>
        <v/>
      </c>
      <c r="V26" s="71" t="str">
        <f>IF(T_MEASURES[[#This Row],[High risk (3)]]=1,"■","")</f>
        <v/>
      </c>
      <c r="W26" s="18" t="str">
        <f t="shared" si="1"/>
        <v>1. No Risk (Green)</v>
      </c>
      <c r="X26" s="18">
        <f>COUNT(T_MEASURES[[#This Row],[Buildings and public facilities]:[Coordination]])</f>
        <v>2</v>
      </c>
      <c r="Y26" s="18"/>
      <c r="Z26" s="18" t="str">
        <f>IF(T_MEASURES[[#This Row],[Buildings and public facilities]]=1,"Yes","No")</f>
        <v>No</v>
      </c>
      <c r="AA26" s="157">
        <v>1</v>
      </c>
      <c r="AB26" s="157" t="str">
        <f>IF(T_MEASURES[[#This Row],[Urban planning]]=1,"Yes","No")</f>
        <v>Yes</v>
      </c>
      <c r="AC26" s="18"/>
      <c r="AD26" s="18" t="str">
        <f>IF(T_MEASURES[[#This Row],[Culture and Sports]],"Yes","No")</f>
        <v>No</v>
      </c>
      <c r="AE26" s="18"/>
      <c r="AF26" s="18" t="str">
        <f>IF(T_MEASURES[[#This Row],[Tourism]],"Yes","No")</f>
        <v>No</v>
      </c>
      <c r="AG26" s="18"/>
      <c r="AH26" s="18" t="str">
        <f>IF(T_MEASURES[[#This Row],[Occupational risks]],"Yes","No")</f>
        <v>No</v>
      </c>
      <c r="AI26" s="18"/>
      <c r="AJ26" s="18" t="str">
        <f>IF(T_MEASURES[[#This Row],[Education]],"Yes","No")</f>
        <v>No</v>
      </c>
      <c r="AK26" s="18"/>
      <c r="AL26" s="18" t="str">
        <f>IF(T_MEASURES[[#This Row],[Social Services]],"Yes","No")</f>
        <v>No</v>
      </c>
      <c r="AM26" s="18"/>
      <c r="AN26" s="18" t="str">
        <f>IF(T_MEASURES[[#This Row],[Emergency Services and Police]],"Yes","No")</f>
        <v>No</v>
      </c>
      <c r="AO26" s="157">
        <v>1</v>
      </c>
      <c r="AP26" s="157" t="str">
        <f>IF(T_MEASURES[[#This Row],[Parks and gardens (Urban Green Infrastructure)]],"Yes","No")</f>
        <v>Yes</v>
      </c>
      <c r="AQ26" s="18"/>
      <c r="AR26" s="18" t="str">
        <f>IF(T_MEASURES[[#This Row],[Transport]],"Yes","No")</f>
        <v>No</v>
      </c>
      <c r="AS26" s="158"/>
      <c r="AT26" s="1" t="str">
        <f>IF(T_MEASURES[[#This Row],[Coordination]],"Yes","No")</f>
        <v>No</v>
      </c>
      <c r="AU26" s="2">
        <v>1</v>
      </c>
      <c r="AV26" s="1">
        <v>1</v>
      </c>
      <c r="AW26" s="1">
        <v>1</v>
      </c>
      <c r="AX26" s="1">
        <v>1</v>
      </c>
      <c r="AY26" s="3">
        <v>1</v>
      </c>
      <c r="AZ26" s="86">
        <f>SUMPRODUCT($AT$15:$AX$15,T_MEASURES[[#This Row],[&lt;5.000]:[&gt;100.000]])</f>
        <v>1</v>
      </c>
      <c r="BA26" s="1">
        <v>1</v>
      </c>
      <c r="BB26" s="1">
        <v>1</v>
      </c>
      <c r="BC26" s="1">
        <v>1</v>
      </c>
      <c r="BD26" s="1">
        <v>1</v>
      </c>
      <c r="BE26" s="1">
        <v>1</v>
      </c>
      <c r="BF26" s="1">
        <v>1</v>
      </c>
      <c r="BG26" s="1">
        <v>1</v>
      </c>
      <c r="BH26" s="86" cm="1">
        <f t="array" ref="BH26">SUMPRODUCT(--((T_MEASURES[[#This Row],[Health or social care centers]:[Schools / Educational centers]] + $AZ$15:$BF$15)&gt;0))</f>
        <v>7</v>
      </c>
      <c r="BI26" s="88">
        <v>2</v>
      </c>
      <c r="BJ26" s="88">
        <v>0</v>
      </c>
      <c r="BK26" s="88">
        <v>1</v>
      </c>
      <c r="BL26" s="88">
        <v>2</v>
      </c>
      <c r="BM26" s="88">
        <v>2</v>
      </c>
      <c r="BN26" s="88">
        <v>2</v>
      </c>
      <c r="BO26" s="88">
        <v>3</v>
      </c>
      <c r="BP26" s="88">
        <v>3</v>
      </c>
      <c r="BQ26" s="96" cm="1">
        <f t="array" ref="BQ26">T_MEASURES[[#This Row],[Apply size]]*(SUMPRODUCT(T_MEASURES[[#This Row],[C1_Urban Cooling]:[C8_Time]],TRANSPOSE('2.WEIGHTS'!$L$12:$L$19))+(ROW(C26)-ROW($C$18)+1)*0.0000000001)*100</f>
        <v>187.50000009000001</v>
      </c>
      <c r="BR26" s="21"/>
      <c r="BS26" s="38"/>
    </row>
    <row r="27" spans="1:71" ht="33.6" x14ac:dyDescent="0.3">
      <c r="A27" s="21"/>
      <c r="B27" s="38"/>
      <c r="C27" s="21"/>
      <c r="D27" s="86">
        <f>IF(T_MEASURES[[#This Row],[Weight Criterion]]&lt;=0,"",_xlfn.RANK.EQ(T_MEASURES[[#This Row],[Weight Criterion]],T_MEASURES[Weight Criterion]))</f>
        <v>140</v>
      </c>
      <c r="E27" s="152" t="s">
        <v>147</v>
      </c>
      <c r="F27" s="150" t="s">
        <v>55</v>
      </c>
      <c r="G27" s="150" t="s">
        <v>41</v>
      </c>
      <c r="H27" s="150" t="s">
        <v>129</v>
      </c>
      <c r="I27" s="150" t="s">
        <v>148</v>
      </c>
      <c r="J27" s="150"/>
      <c r="K27" s="153"/>
      <c r="L27" s="18"/>
      <c r="M27" s="18">
        <v>1</v>
      </c>
      <c r="N27" s="154" t="str">
        <f t="shared" si="0"/>
        <v>€€€</v>
      </c>
      <c r="O27" s="155">
        <v>1</v>
      </c>
      <c r="P27" s="155"/>
      <c r="Q27" s="19"/>
      <c r="R27" s="155"/>
      <c r="S27" s="72" t="str">
        <f>IF(T_MEASURES[[#This Row],[No risk (0)]]=1,"■","")</f>
        <v>■</v>
      </c>
      <c r="T27" s="73" t="str">
        <f>IF(T_MEASURES[[#This Row],[Low risk (1)]]=1,"■","")</f>
        <v/>
      </c>
      <c r="U27" s="74" t="str">
        <f>IF(T_MEASURES[[#This Row],[Medium risk (2)]]=1,"■","")</f>
        <v/>
      </c>
      <c r="V27" s="71" t="str">
        <f>IF(T_MEASURES[[#This Row],[High risk (3)]]=1,"■","")</f>
        <v/>
      </c>
      <c r="W27" s="18" t="str">
        <f t="shared" si="1"/>
        <v>1. No Risk (Green)</v>
      </c>
      <c r="X27" s="18">
        <f>COUNT(T_MEASURES[[#This Row],[Buildings and public facilities]:[Coordination]])</f>
        <v>2</v>
      </c>
      <c r="Y27" s="18"/>
      <c r="Z27" s="18" t="str">
        <f>IF(T_MEASURES[[#This Row],[Buildings and public facilities]]=1,"Yes","No")</f>
        <v>No</v>
      </c>
      <c r="AA27" s="157">
        <v>1</v>
      </c>
      <c r="AB27" s="157" t="str">
        <f>IF(T_MEASURES[[#This Row],[Urban planning]]=1,"Yes","No")</f>
        <v>Yes</v>
      </c>
      <c r="AC27" s="18"/>
      <c r="AD27" s="18" t="str">
        <f>IF(T_MEASURES[[#This Row],[Culture and Sports]],"Yes","No")</f>
        <v>No</v>
      </c>
      <c r="AE27" s="18"/>
      <c r="AF27" s="18" t="str">
        <f>IF(T_MEASURES[[#This Row],[Tourism]],"Yes","No")</f>
        <v>No</v>
      </c>
      <c r="AG27" s="18"/>
      <c r="AH27" s="18" t="str">
        <f>IF(T_MEASURES[[#This Row],[Occupational risks]],"Yes","No")</f>
        <v>No</v>
      </c>
      <c r="AI27" s="18"/>
      <c r="AJ27" s="18" t="str">
        <f>IF(T_MEASURES[[#This Row],[Education]],"Yes","No")</f>
        <v>No</v>
      </c>
      <c r="AK27" s="18"/>
      <c r="AL27" s="18" t="str">
        <f>IF(T_MEASURES[[#This Row],[Social Services]],"Yes","No")</f>
        <v>No</v>
      </c>
      <c r="AM27" s="18"/>
      <c r="AN27" s="18" t="str">
        <f>IF(T_MEASURES[[#This Row],[Emergency Services and Police]],"Yes","No")</f>
        <v>No</v>
      </c>
      <c r="AO27" s="157">
        <v>1</v>
      </c>
      <c r="AP27" s="157" t="str">
        <f>IF(T_MEASURES[[#This Row],[Parks and gardens (Urban Green Infrastructure)]],"Yes","No")</f>
        <v>Yes</v>
      </c>
      <c r="AQ27" s="18"/>
      <c r="AR27" s="18" t="str">
        <f>IF(T_MEASURES[[#This Row],[Transport]],"Yes","No")</f>
        <v>No</v>
      </c>
      <c r="AS27" s="158"/>
      <c r="AT27" s="1" t="str">
        <f>IF(T_MEASURES[[#This Row],[Coordination]],"Yes","No")</f>
        <v>No</v>
      </c>
      <c r="AU27" s="2">
        <v>1</v>
      </c>
      <c r="AV27" s="1">
        <v>1</v>
      </c>
      <c r="AW27" s="1">
        <v>1</v>
      </c>
      <c r="AX27" s="1">
        <v>1</v>
      </c>
      <c r="AY27" s="3">
        <v>1</v>
      </c>
      <c r="AZ27" s="86">
        <f>SUMPRODUCT($AT$15:$AX$15,T_MEASURES[[#This Row],[&lt;5.000]:[&gt;100.000]])</f>
        <v>1</v>
      </c>
      <c r="BA27" s="1">
        <v>1</v>
      </c>
      <c r="BB27" s="1">
        <v>1</v>
      </c>
      <c r="BC27" s="1">
        <v>1</v>
      </c>
      <c r="BD27" s="1">
        <v>1</v>
      </c>
      <c r="BE27" s="1">
        <v>1</v>
      </c>
      <c r="BF27" s="1">
        <v>1</v>
      </c>
      <c r="BG27" s="1">
        <v>1</v>
      </c>
      <c r="BH27" s="86" cm="1">
        <f t="array" ref="BH27">SUMPRODUCT(--((T_MEASURES[[#This Row],[Health or social care centers]:[Schools / Educational centers]] + $AZ$15:$BF$15)&gt;0))</f>
        <v>7</v>
      </c>
      <c r="BI27" s="1">
        <v>3</v>
      </c>
      <c r="BJ27" s="1">
        <v>3</v>
      </c>
      <c r="BK27" s="1">
        <v>1</v>
      </c>
      <c r="BL27" s="1">
        <v>2</v>
      </c>
      <c r="BM27" s="1">
        <v>0</v>
      </c>
      <c r="BN27" s="1">
        <v>0</v>
      </c>
      <c r="BO27" s="1">
        <v>0</v>
      </c>
      <c r="BP27" s="1">
        <v>0</v>
      </c>
      <c r="BQ27" s="96" cm="1">
        <f t="array" ref="BQ27">T_MEASURES[[#This Row],[Apply size]]*(SUMPRODUCT(T_MEASURES[[#This Row],[C1_Urban Cooling]:[C8_Time]],TRANSPOSE('2.WEIGHTS'!$L$12:$L$19))+(ROW(C27)-ROW($C$18)+1)*0.0000000001)*100</f>
        <v>112.50000010000001</v>
      </c>
      <c r="BR27" s="21"/>
      <c r="BS27" s="38"/>
    </row>
    <row r="28" spans="1:71" ht="33.6" x14ac:dyDescent="0.3">
      <c r="A28" s="21"/>
      <c r="B28" s="38"/>
      <c r="C28" s="21"/>
      <c r="D28" s="86">
        <f>IF(T_MEASURES[[#This Row],[Weight Criterion]]&lt;=0,"",_xlfn.RANK.EQ(T_MEASURES[[#This Row],[Weight Criterion]],T_MEASURES[Weight Criterion]))</f>
        <v>81</v>
      </c>
      <c r="E28" s="152" t="s">
        <v>149</v>
      </c>
      <c r="F28" s="150" t="s">
        <v>55</v>
      </c>
      <c r="G28" s="150" t="s">
        <v>41</v>
      </c>
      <c r="H28" s="150" t="s">
        <v>132</v>
      </c>
      <c r="I28" s="151" t="s">
        <v>150</v>
      </c>
      <c r="J28" s="151"/>
      <c r="K28" s="153"/>
      <c r="L28" s="18">
        <v>1</v>
      </c>
      <c r="M28" s="18"/>
      <c r="N28" s="154" t="str">
        <f t="shared" si="0"/>
        <v>€€</v>
      </c>
      <c r="O28" s="155">
        <v>1</v>
      </c>
      <c r="P28" s="155"/>
      <c r="Q28" s="19"/>
      <c r="R28" s="155"/>
      <c r="S28" s="72" t="str">
        <f>IF(T_MEASURES[[#This Row],[No risk (0)]]=1,"■","")</f>
        <v>■</v>
      </c>
      <c r="T28" s="73" t="str">
        <f>IF(T_MEASURES[[#This Row],[Low risk (1)]]=1,"■","")</f>
        <v/>
      </c>
      <c r="U28" s="74" t="str">
        <f>IF(T_MEASURES[[#This Row],[Medium risk (2)]]=1,"■","")</f>
        <v/>
      </c>
      <c r="V28" s="71" t="str">
        <f>IF(T_MEASURES[[#This Row],[High risk (3)]]=1,"■","")</f>
        <v/>
      </c>
      <c r="W28" s="18" t="str">
        <f t="shared" si="1"/>
        <v>1. No Risk (Green)</v>
      </c>
      <c r="X28" s="18">
        <f>COUNT(T_MEASURES[[#This Row],[Buildings and public facilities]:[Coordination]])</f>
        <v>2</v>
      </c>
      <c r="Y28" s="157">
        <v>1</v>
      </c>
      <c r="Z28" s="157" t="str">
        <f>IF(T_MEASURES[[#This Row],[Buildings and public facilities]]=1,"Yes","No")</f>
        <v>Yes</v>
      </c>
      <c r="AA28" s="18"/>
      <c r="AB28" s="18" t="str">
        <f>IF(T_MEASURES[[#This Row],[Urban planning]]=1,"Yes","No")</f>
        <v>No</v>
      </c>
      <c r="AC28" s="18"/>
      <c r="AD28" s="18" t="str">
        <f>IF(T_MEASURES[[#This Row],[Culture and Sports]],"Yes","No")</f>
        <v>No</v>
      </c>
      <c r="AE28" s="18"/>
      <c r="AF28" s="18" t="str">
        <f>IF(T_MEASURES[[#This Row],[Tourism]],"Yes","No")</f>
        <v>No</v>
      </c>
      <c r="AG28" s="18"/>
      <c r="AH28" s="18" t="str">
        <f>IF(T_MEASURES[[#This Row],[Occupational risks]],"Yes","No")</f>
        <v>No</v>
      </c>
      <c r="AI28" s="18"/>
      <c r="AJ28" s="18" t="str">
        <f>IF(T_MEASURES[[#This Row],[Education]],"Yes","No")</f>
        <v>No</v>
      </c>
      <c r="AK28" s="18"/>
      <c r="AL28" s="18" t="str">
        <f>IF(T_MEASURES[[#This Row],[Social Services]],"Yes","No")</f>
        <v>No</v>
      </c>
      <c r="AM28" s="18"/>
      <c r="AN28" s="18" t="str">
        <f>IF(T_MEASURES[[#This Row],[Emergency Services and Police]],"Yes","No")</f>
        <v>No</v>
      </c>
      <c r="AO28" s="157">
        <v>1</v>
      </c>
      <c r="AP28" s="157" t="str">
        <f>IF(T_MEASURES[[#This Row],[Parks and gardens (Urban Green Infrastructure)]],"Yes","No")</f>
        <v>Yes</v>
      </c>
      <c r="AQ28" s="18"/>
      <c r="AR28" s="18" t="str">
        <f>IF(T_MEASURES[[#This Row],[Transport]],"Yes","No")</f>
        <v>No</v>
      </c>
      <c r="AS28" s="158"/>
      <c r="AT28" s="1" t="str">
        <f>IF(T_MEASURES[[#This Row],[Coordination]],"Yes","No")</f>
        <v>No</v>
      </c>
      <c r="AU28" s="2">
        <v>1</v>
      </c>
      <c r="AV28" s="1">
        <v>1</v>
      </c>
      <c r="AW28" s="1">
        <v>1</v>
      </c>
      <c r="AX28" s="1">
        <v>1</v>
      </c>
      <c r="AY28" s="3">
        <v>1</v>
      </c>
      <c r="AZ28" s="86">
        <f>SUMPRODUCT($AT$15:$AX$15,T_MEASURES[[#This Row],[&lt;5.000]:[&gt;100.000]])</f>
        <v>1</v>
      </c>
      <c r="BA28" s="1">
        <v>1</v>
      </c>
      <c r="BB28" s="1">
        <v>1</v>
      </c>
      <c r="BC28" s="1">
        <v>1</v>
      </c>
      <c r="BD28" s="1">
        <v>1</v>
      </c>
      <c r="BE28" s="1">
        <v>1</v>
      </c>
      <c r="BF28" s="1">
        <v>1</v>
      </c>
      <c r="BG28" s="1">
        <v>1</v>
      </c>
      <c r="BH28" s="86" cm="1">
        <f t="array" ref="BH28">SUMPRODUCT(--((T_MEASURES[[#This Row],[Health or social care centers]:[Schools / Educational centers]] + $AZ$15:$BF$15)&gt;0))</f>
        <v>7</v>
      </c>
      <c r="BI28" s="88">
        <v>2</v>
      </c>
      <c r="BJ28" s="88">
        <v>0</v>
      </c>
      <c r="BK28" s="88">
        <v>3</v>
      </c>
      <c r="BL28" s="88">
        <v>3</v>
      </c>
      <c r="BM28" s="88">
        <v>2</v>
      </c>
      <c r="BN28" s="88">
        <v>1</v>
      </c>
      <c r="BO28" s="88">
        <v>2</v>
      </c>
      <c r="BP28" s="88">
        <v>2</v>
      </c>
      <c r="BQ28" s="96" cm="1">
        <f t="array" ref="BQ28">T_MEASURES[[#This Row],[Apply size]]*(SUMPRODUCT(T_MEASURES[[#This Row],[C1_Urban Cooling]:[C8_Time]],TRANSPOSE('2.WEIGHTS'!$L$12:$L$19))+(ROW(C28)-ROW($C$18)+1)*0.0000000001)*100</f>
        <v>187.50000011</v>
      </c>
      <c r="BR28" s="21"/>
      <c r="BS28" s="38"/>
    </row>
    <row r="29" spans="1:71" ht="33.6" x14ac:dyDescent="0.3">
      <c r="A29" s="21"/>
      <c r="B29" s="38"/>
      <c r="C29" s="21"/>
      <c r="D29" s="86">
        <f>IF(T_MEASURES[[#This Row],[Weight Criterion]]&lt;=0,"",_xlfn.RANK.EQ(T_MEASURES[[#This Row],[Weight Criterion]],T_MEASURES[Weight Criterion]))</f>
        <v>103</v>
      </c>
      <c r="E29" s="152" t="s">
        <v>151</v>
      </c>
      <c r="F29" s="150" t="s">
        <v>55</v>
      </c>
      <c r="G29" s="150" t="s">
        <v>41</v>
      </c>
      <c r="H29" s="150" t="s">
        <v>132</v>
      </c>
      <c r="I29" s="150" t="s">
        <v>152</v>
      </c>
      <c r="J29" s="150"/>
      <c r="K29" s="153"/>
      <c r="L29" s="18">
        <v>1</v>
      </c>
      <c r="M29" s="18"/>
      <c r="N29" s="154" t="str">
        <f t="shared" si="0"/>
        <v>€€</v>
      </c>
      <c r="O29" s="155">
        <v>1</v>
      </c>
      <c r="P29" s="155"/>
      <c r="Q29" s="19"/>
      <c r="R29" s="155"/>
      <c r="S29" s="72" t="str">
        <f>IF(T_MEASURES[[#This Row],[No risk (0)]]=1,"■","")</f>
        <v>■</v>
      </c>
      <c r="T29" s="73" t="str">
        <f>IF(T_MEASURES[[#This Row],[Low risk (1)]]=1,"■","")</f>
        <v/>
      </c>
      <c r="U29" s="74" t="str">
        <f>IF(T_MEASURES[[#This Row],[Medium risk (2)]]=1,"■","")</f>
        <v/>
      </c>
      <c r="V29" s="71" t="str">
        <f>IF(T_MEASURES[[#This Row],[High risk (3)]]=1,"■","")</f>
        <v/>
      </c>
      <c r="W29" s="18" t="str">
        <f t="shared" si="1"/>
        <v>1. No Risk (Green)</v>
      </c>
      <c r="X29" s="18">
        <f>COUNT(T_MEASURES[[#This Row],[Buildings and public facilities]:[Coordination]])</f>
        <v>3</v>
      </c>
      <c r="Y29" s="157">
        <v>1</v>
      </c>
      <c r="Z29" s="157" t="str">
        <f>IF(T_MEASURES[[#This Row],[Buildings and public facilities]]=1,"Yes","No")</f>
        <v>Yes</v>
      </c>
      <c r="AA29" s="18"/>
      <c r="AB29" s="18" t="str">
        <f>IF(T_MEASURES[[#This Row],[Urban planning]]=1,"Yes","No")</f>
        <v>No</v>
      </c>
      <c r="AC29" s="157">
        <v>1</v>
      </c>
      <c r="AD29" s="157" t="str">
        <f>IF(T_MEASURES[[#This Row],[Culture and Sports]],"Yes","No")</f>
        <v>Yes</v>
      </c>
      <c r="AE29" s="18"/>
      <c r="AF29" s="18" t="str">
        <f>IF(T_MEASURES[[#This Row],[Tourism]],"Yes","No")</f>
        <v>No</v>
      </c>
      <c r="AG29" s="18"/>
      <c r="AH29" s="18" t="str">
        <f>IF(T_MEASURES[[#This Row],[Occupational risks]],"Yes","No")</f>
        <v>No</v>
      </c>
      <c r="AI29" s="157">
        <v>1</v>
      </c>
      <c r="AJ29" s="157" t="str">
        <f>IF(T_MEASURES[[#This Row],[Education]],"Yes","No")</f>
        <v>Yes</v>
      </c>
      <c r="AK29" s="18"/>
      <c r="AL29" s="18" t="str">
        <f>IF(T_MEASURES[[#This Row],[Social Services]],"Yes","No")</f>
        <v>No</v>
      </c>
      <c r="AM29" s="18"/>
      <c r="AN29" s="18" t="str">
        <f>IF(T_MEASURES[[#This Row],[Emergency Services and Police]],"Yes","No")</f>
        <v>No</v>
      </c>
      <c r="AO29" s="18"/>
      <c r="AP29" s="18" t="str">
        <f>IF(T_MEASURES[[#This Row],[Parks and gardens (Urban Green Infrastructure)]],"Yes","No")</f>
        <v>No</v>
      </c>
      <c r="AQ29" s="18"/>
      <c r="AR29" s="18" t="str">
        <f>IF(T_MEASURES[[#This Row],[Transport]],"Yes","No")</f>
        <v>No</v>
      </c>
      <c r="AS29" s="158"/>
      <c r="AT29" s="1" t="str">
        <f>IF(T_MEASURES[[#This Row],[Coordination]],"Yes","No")</f>
        <v>No</v>
      </c>
      <c r="AU29" s="2">
        <v>1</v>
      </c>
      <c r="AV29" s="1">
        <v>1</v>
      </c>
      <c r="AW29" s="1">
        <v>1</v>
      </c>
      <c r="AX29" s="1">
        <v>1</v>
      </c>
      <c r="AY29" s="3">
        <v>1</v>
      </c>
      <c r="AZ29" s="86">
        <f>SUMPRODUCT($AT$15:$AX$15,T_MEASURES[[#This Row],[&lt;5.000]:[&gt;100.000]])</f>
        <v>1</v>
      </c>
      <c r="BA29" s="1"/>
      <c r="BB29" s="1"/>
      <c r="BC29" s="1">
        <v>1</v>
      </c>
      <c r="BD29" s="1">
        <v>1</v>
      </c>
      <c r="BE29" s="1">
        <v>1</v>
      </c>
      <c r="BF29" s="1">
        <v>1</v>
      </c>
      <c r="BG29" s="1">
        <v>1</v>
      </c>
      <c r="BH29" s="86" cm="1">
        <f t="array" ref="BH29">SUMPRODUCT(--((T_MEASURES[[#This Row],[Health or social care centers]:[Schools / Educational centers]] + $AZ$15:$BF$15)&gt;0))</f>
        <v>5</v>
      </c>
      <c r="BI29" s="1">
        <v>1</v>
      </c>
      <c r="BJ29" s="1">
        <v>0</v>
      </c>
      <c r="BK29" s="1">
        <v>1</v>
      </c>
      <c r="BL29" s="1">
        <v>1</v>
      </c>
      <c r="BM29" s="1">
        <v>3</v>
      </c>
      <c r="BN29" s="1">
        <v>2</v>
      </c>
      <c r="BO29" s="1">
        <v>3</v>
      </c>
      <c r="BP29" s="1">
        <v>3</v>
      </c>
      <c r="BQ29" s="96" cm="1">
        <f t="array" ref="BQ29">T_MEASURES[[#This Row],[Apply size]]*(SUMPRODUCT(T_MEASURES[[#This Row],[C1_Urban Cooling]:[C8_Time]],TRANSPOSE('2.WEIGHTS'!$L$12:$L$19))+(ROW(C29)-ROW($C$18)+1)*0.0000000001)*100</f>
        <v>175.00000012000001</v>
      </c>
      <c r="BR29" s="21"/>
      <c r="BS29" s="38"/>
    </row>
    <row r="30" spans="1:71" ht="33.6" x14ac:dyDescent="0.3">
      <c r="A30" s="21"/>
      <c r="B30" s="38"/>
      <c r="C30" s="21"/>
      <c r="D30" s="86">
        <f>IF(T_MEASURES[[#This Row],[Weight Criterion]]&lt;=0,"",_xlfn.RANK.EQ(T_MEASURES[[#This Row],[Weight Criterion]],T_MEASURES[Weight Criterion]))</f>
        <v>118</v>
      </c>
      <c r="E30" s="152" t="s">
        <v>153</v>
      </c>
      <c r="F30" s="150" t="s">
        <v>55</v>
      </c>
      <c r="G30" s="150" t="s">
        <v>42</v>
      </c>
      <c r="H30" s="150" t="s">
        <v>126</v>
      </c>
      <c r="I30" s="151" t="s">
        <v>154</v>
      </c>
      <c r="J30" s="151"/>
      <c r="K30" s="153">
        <v>1</v>
      </c>
      <c r="L30" s="18"/>
      <c r="M30" s="18"/>
      <c r="N30" s="154" t="str">
        <f t="shared" si="0"/>
        <v>€</v>
      </c>
      <c r="O30" s="155">
        <v>1</v>
      </c>
      <c r="P30" s="155"/>
      <c r="Q30" s="19"/>
      <c r="R30" s="155"/>
      <c r="S30" s="72" t="str">
        <f>IF(T_MEASURES[[#This Row],[No risk (0)]]=1,"■","")</f>
        <v>■</v>
      </c>
      <c r="T30" s="73" t="str">
        <f>IF(T_MEASURES[[#This Row],[Low risk (1)]]=1,"■","")</f>
        <v/>
      </c>
      <c r="U30" s="74" t="str">
        <f>IF(T_MEASURES[[#This Row],[Medium risk (2)]]=1,"■","")</f>
        <v/>
      </c>
      <c r="V30" s="71" t="str">
        <f>IF(T_MEASURES[[#This Row],[High risk (3)]]=1,"■","")</f>
        <v/>
      </c>
      <c r="W30" s="18" t="str">
        <f t="shared" si="1"/>
        <v>1. No Risk (Green)</v>
      </c>
      <c r="X30" s="18">
        <f>COUNT(T_MEASURES[[#This Row],[Buildings and public facilities]:[Coordination]])</f>
        <v>1</v>
      </c>
      <c r="Y30" s="18"/>
      <c r="Z30" s="18" t="str">
        <f>IF(T_MEASURES[[#This Row],[Buildings and public facilities]]=1,"Yes","No")</f>
        <v>No</v>
      </c>
      <c r="AA30" s="18"/>
      <c r="AB30" s="18" t="str">
        <f>IF(T_MEASURES[[#This Row],[Urban planning]]=1,"Yes","No")</f>
        <v>No</v>
      </c>
      <c r="AC30" s="18"/>
      <c r="AD30" s="18" t="str">
        <f>IF(T_MEASURES[[#This Row],[Culture and Sports]],"Yes","No")</f>
        <v>No</v>
      </c>
      <c r="AE30" s="157">
        <v>1</v>
      </c>
      <c r="AF30" s="157" t="str">
        <f>IF(T_MEASURES[[#This Row],[Tourism]],"Yes","No")</f>
        <v>Yes</v>
      </c>
      <c r="AG30" s="18"/>
      <c r="AH30" s="18" t="str">
        <f>IF(T_MEASURES[[#This Row],[Occupational risks]],"Yes","No")</f>
        <v>No</v>
      </c>
      <c r="AI30" s="18"/>
      <c r="AJ30" s="18" t="str">
        <f>IF(T_MEASURES[[#This Row],[Education]],"Yes","No")</f>
        <v>No</v>
      </c>
      <c r="AK30" s="18"/>
      <c r="AL30" s="18" t="str">
        <f>IF(T_MEASURES[[#This Row],[Social Services]],"Yes","No")</f>
        <v>No</v>
      </c>
      <c r="AM30" s="18"/>
      <c r="AN30" s="18" t="str">
        <f>IF(T_MEASURES[[#This Row],[Emergency Services and Police]],"Yes","No")</f>
        <v>No</v>
      </c>
      <c r="AO30" s="18"/>
      <c r="AP30" s="18" t="str">
        <f>IF(T_MEASURES[[#This Row],[Parks and gardens (Urban Green Infrastructure)]],"Yes","No")</f>
        <v>No</v>
      </c>
      <c r="AQ30" s="18"/>
      <c r="AR30" s="18" t="str">
        <f>IF(T_MEASURES[[#This Row],[Transport]],"Yes","No")</f>
        <v>No</v>
      </c>
      <c r="AS30" s="158"/>
      <c r="AT30" s="1" t="str">
        <f>IF(T_MEASURES[[#This Row],[Coordination]],"Yes","No")</f>
        <v>No</v>
      </c>
      <c r="AU30" s="2">
        <v>1</v>
      </c>
      <c r="AV30" s="1">
        <v>1</v>
      </c>
      <c r="AW30" s="1">
        <v>1</v>
      </c>
      <c r="AX30" s="1">
        <v>1</v>
      </c>
      <c r="AY30" s="3">
        <v>1</v>
      </c>
      <c r="AZ30" s="86">
        <f>SUMPRODUCT($AT$15:$AX$15,T_MEASURES[[#This Row],[&lt;5.000]:[&gt;100.000]])</f>
        <v>1</v>
      </c>
      <c r="BA30" s="1">
        <v>1</v>
      </c>
      <c r="BB30" s="1">
        <v>1</v>
      </c>
      <c r="BC30" s="1">
        <v>1</v>
      </c>
      <c r="BD30" s="1">
        <v>1</v>
      </c>
      <c r="BE30" s="1">
        <v>1</v>
      </c>
      <c r="BF30" s="1">
        <v>1</v>
      </c>
      <c r="BG30" s="1">
        <v>1</v>
      </c>
      <c r="BH30" s="86" cm="1">
        <f t="array" ref="BH30">SUMPRODUCT(--((T_MEASURES[[#This Row],[Health or social care centers]:[Schools / Educational centers]] + $AZ$15:$BF$15)&gt;0))</f>
        <v>7</v>
      </c>
      <c r="BI30" s="88">
        <v>0</v>
      </c>
      <c r="BJ30" s="88">
        <v>0</v>
      </c>
      <c r="BK30" s="88">
        <v>0</v>
      </c>
      <c r="BL30" s="88">
        <v>2</v>
      </c>
      <c r="BM30" s="88">
        <v>3</v>
      </c>
      <c r="BN30" s="88">
        <v>2</v>
      </c>
      <c r="BO30" s="88">
        <v>3</v>
      </c>
      <c r="BP30" s="88">
        <v>3</v>
      </c>
      <c r="BQ30" s="96" cm="1">
        <f t="array" ref="BQ30">T_MEASURES[[#This Row],[Apply size]]*(SUMPRODUCT(T_MEASURES[[#This Row],[C1_Urban Cooling]:[C8_Time]],TRANSPOSE('2.WEIGHTS'!$L$12:$L$19))+(ROW(C30)-ROW($C$18)+1)*0.0000000001)*100</f>
        <v>162.50000013000002</v>
      </c>
      <c r="BR30" s="21"/>
      <c r="BS30" s="38"/>
    </row>
    <row r="31" spans="1:71" ht="33.6" x14ac:dyDescent="0.3">
      <c r="A31" s="21"/>
      <c r="B31" s="38"/>
      <c r="C31" s="21"/>
      <c r="D31" s="86">
        <f>IF(T_MEASURES[[#This Row],[Weight Criterion]]&lt;=0,"",_xlfn.RANK.EQ(T_MEASURES[[#This Row],[Weight Criterion]],T_MEASURES[Weight Criterion]))</f>
        <v>141</v>
      </c>
      <c r="E31" s="152" t="s">
        <v>155</v>
      </c>
      <c r="F31" s="150" t="s">
        <v>55</v>
      </c>
      <c r="G31" s="150" t="s">
        <v>42</v>
      </c>
      <c r="H31" s="150" t="s">
        <v>126</v>
      </c>
      <c r="I31" s="150" t="s">
        <v>416</v>
      </c>
      <c r="J31" s="150"/>
      <c r="K31" s="153">
        <v>1</v>
      </c>
      <c r="L31" s="18"/>
      <c r="M31" s="18"/>
      <c r="N31" s="154" t="str">
        <f t="shared" si="0"/>
        <v>€</v>
      </c>
      <c r="O31" s="155">
        <v>1</v>
      </c>
      <c r="P31" s="155"/>
      <c r="Q31" s="19"/>
      <c r="R31" s="155"/>
      <c r="S31" s="72" t="str">
        <f>IF(T_MEASURES[[#This Row],[No risk (0)]]=1,"■","")</f>
        <v>■</v>
      </c>
      <c r="T31" s="73" t="str">
        <f>IF(T_MEASURES[[#This Row],[Low risk (1)]]=1,"■","")</f>
        <v/>
      </c>
      <c r="U31" s="74" t="str">
        <f>IF(T_MEASURES[[#This Row],[Medium risk (2)]]=1,"■","")</f>
        <v/>
      </c>
      <c r="V31" s="71" t="str">
        <f>IF(T_MEASURES[[#This Row],[High risk (3)]]=1,"■","")</f>
        <v/>
      </c>
      <c r="W31" s="18" t="str">
        <f t="shared" si="1"/>
        <v>1. No Risk (Green)</v>
      </c>
      <c r="X31" s="18">
        <f>COUNT(T_MEASURES[[#This Row],[Buildings and public facilities]:[Coordination]])</f>
        <v>1</v>
      </c>
      <c r="Y31" s="18"/>
      <c r="Z31" s="18" t="str">
        <f>IF(T_MEASURES[[#This Row],[Buildings and public facilities]]=1,"Yes","No")</f>
        <v>No</v>
      </c>
      <c r="AA31" s="18"/>
      <c r="AB31" s="18" t="str">
        <f>IF(T_MEASURES[[#This Row],[Urban planning]]=1,"Yes","No")</f>
        <v>No</v>
      </c>
      <c r="AC31" s="18"/>
      <c r="AD31" s="18" t="str">
        <f>IF(T_MEASURES[[#This Row],[Culture and Sports]],"Yes","No")</f>
        <v>No</v>
      </c>
      <c r="AE31" s="18"/>
      <c r="AF31" s="18" t="str">
        <f>IF(T_MEASURES[[#This Row],[Tourism]],"Yes","No")</f>
        <v>No</v>
      </c>
      <c r="AG31" s="18"/>
      <c r="AH31" s="18" t="str">
        <f>IF(T_MEASURES[[#This Row],[Occupational risks]],"Yes","No")</f>
        <v>No</v>
      </c>
      <c r="AI31" s="18"/>
      <c r="AJ31" s="18" t="str">
        <f>IF(T_MEASURES[[#This Row],[Education]],"Yes","No")</f>
        <v>No</v>
      </c>
      <c r="AK31" s="18"/>
      <c r="AL31" s="18" t="str">
        <f>IF(T_MEASURES[[#This Row],[Social Services]],"Yes","No")</f>
        <v>No</v>
      </c>
      <c r="AM31" s="18"/>
      <c r="AN31" s="18" t="str">
        <f>IF(T_MEASURES[[#This Row],[Emergency Services and Police]],"Yes","No")</f>
        <v>No</v>
      </c>
      <c r="AO31" s="157">
        <v>1</v>
      </c>
      <c r="AP31" s="157" t="str">
        <f>IF(T_MEASURES[[#This Row],[Parks and gardens (Urban Green Infrastructure)]],"Yes","No")</f>
        <v>Yes</v>
      </c>
      <c r="AQ31" s="18"/>
      <c r="AR31" s="18" t="str">
        <f>IF(T_MEASURES[[#This Row],[Transport]],"Yes","No")</f>
        <v>No</v>
      </c>
      <c r="AS31" s="158"/>
      <c r="AT31" s="1" t="str">
        <f>IF(T_MEASURES[[#This Row],[Coordination]],"Yes","No")</f>
        <v>No</v>
      </c>
      <c r="AU31" s="2">
        <v>1</v>
      </c>
      <c r="AV31" s="1">
        <v>1</v>
      </c>
      <c r="AW31" s="1">
        <v>1</v>
      </c>
      <c r="AX31" s="1">
        <v>1</v>
      </c>
      <c r="AY31" s="3">
        <v>1</v>
      </c>
      <c r="AZ31" s="86">
        <f>SUMPRODUCT($AT$15:$AX$15,T_MEASURES[[#This Row],[&lt;5.000]:[&gt;100.000]])</f>
        <v>1</v>
      </c>
      <c r="BA31" s="1">
        <v>1</v>
      </c>
      <c r="BB31" s="1">
        <v>1</v>
      </c>
      <c r="BC31" s="1">
        <v>1</v>
      </c>
      <c r="BD31" s="1">
        <v>1</v>
      </c>
      <c r="BE31" s="1">
        <v>1</v>
      </c>
      <c r="BF31" s="1">
        <v>1</v>
      </c>
      <c r="BG31" s="1">
        <v>1</v>
      </c>
      <c r="BH31" s="86" cm="1">
        <f t="array" ref="BH31">SUMPRODUCT(--((T_MEASURES[[#This Row],[Health or social care centers]:[Schools / Educational centers]] + $AZ$15:$BF$15)&gt;0))</f>
        <v>7</v>
      </c>
      <c r="BI31" s="1">
        <v>1</v>
      </c>
      <c r="BJ31" s="1">
        <v>0</v>
      </c>
      <c r="BK31" s="1">
        <v>0</v>
      </c>
      <c r="BL31" s="1">
        <v>1</v>
      </c>
      <c r="BM31" s="1">
        <v>3</v>
      </c>
      <c r="BN31" s="1">
        <v>1</v>
      </c>
      <c r="BO31" s="1">
        <v>1</v>
      </c>
      <c r="BP31" s="1">
        <v>1</v>
      </c>
      <c r="BQ31" s="96" cm="1">
        <f t="array" ref="BQ31">T_MEASURES[[#This Row],[Apply size]]*(SUMPRODUCT(T_MEASURES[[#This Row],[C1_Urban Cooling]:[C8_Time]],TRANSPOSE('2.WEIGHTS'!$L$12:$L$19))+(ROW(C31)-ROW($C$18)+1)*0.0000000001)*100</f>
        <v>100.00000013999998</v>
      </c>
      <c r="BR31" s="21"/>
      <c r="BS31" s="38"/>
    </row>
    <row r="32" spans="1:71" ht="33.6" x14ac:dyDescent="0.3">
      <c r="A32" s="21"/>
      <c r="B32" s="38"/>
      <c r="C32" s="21"/>
      <c r="D32" s="86">
        <f>IF(T_MEASURES[[#This Row],[Weight Criterion]]&lt;=0,"",_xlfn.RANK.EQ(T_MEASURES[[#This Row],[Weight Criterion]],T_MEASURES[Weight Criterion]))</f>
        <v>126</v>
      </c>
      <c r="E32" s="152" t="s">
        <v>156</v>
      </c>
      <c r="F32" s="150" t="s">
        <v>55</v>
      </c>
      <c r="G32" s="150" t="s">
        <v>44</v>
      </c>
      <c r="H32" s="150" t="s">
        <v>145</v>
      </c>
      <c r="I32" s="151" t="s">
        <v>157</v>
      </c>
      <c r="J32" s="151"/>
      <c r="K32" s="153">
        <v>1</v>
      </c>
      <c r="L32" s="18"/>
      <c r="M32" s="18"/>
      <c r="N32" s="154" t="str">
        <f t="shared" si="0"/>
        <v>€</v>
      </c>
      <c r="O32" s="155">
        <v>1</v>
      </c>
      <c r="P32" s="155"/>
      <c r="Q32" s="19"/>
      <c r="R32" s="155"/>
      <c r="S32" s="72" t="str">
        <f>IF(T_MEASURES[[#This Row],[No risk (0)]]=1,"■","")</f>
        <v>■</v>
      </c>
      <c r="T32" s="73" t="str">
        <f>IF(T_MEASURES[[#This Row],[Low risk (1)]]=1,"■","")</f>
        <v/>
      </c>
      <c r="U32" s="74" t="str">
        <f>IF(T_MEASURES[[#This Row],[Medium risk (2)]]=1,"■","")</f>
        <v/>
      </c>
      <c r="V32" s="71" t="str">
        <f>IF(T_MEASURES[[#This Row],[High risk (3)]]=1,"■","")</f>
        <v/>
      </c>
      <c r="W32" s="18" t="str">
        <f t="shared" si="1"/>
        <v>1. No Risk (Green)</v>
      </c>
      <c r="X32" s="18">
        <f>COUNT(T_MEASURES[[#This Row],[Buildings and public facilities]:[Coordination]])</f>
        <v>2</v>
      </c>
      <c r="Y32" s="157">
        <v>1</v>
      </c>
      <c r="Z32" s="157" t="str">
        <f>IF(T_MEASURES[[#This Row],[Buildings and public facilities]]=1,"Yes","No")</f>
        <v>Yes</v>
      </c>
      <c r="AA32" s="18"/>
      <c r="AB32" s="18" t="str">
        <f>IF(T_MEASURES[[#This Row],[Urban planning]]=1,"Yes","No")</f>
        <v>No</v>
      </c>
      <c r="AC32" s="18"/>
      <c r="AD32" s="18" t="str">
        <f>IF(T_MEASURES[[#This Row],[Culture and Sports]],"Yes","No")</f>
        <v>No</v>
      </c>
      <c r="AE32" s="157">
        <v>1</v>
      </c>
      <c r="AF32" s="157" t="str">
        <f>IF(T_MEASURES[[#This Row],[Tourism]],"Yes","No")</f>
        <v>Yes</v>
      </c>
      <c r="AG32" s="18"/>
      <c r="AH32" s="18" t="str">
        <f>IF(T_MEASURES[[#This Row],[Occupational risks]],"Yes","No")</f>
        <v>No</v>
      </c>
      <c r="AI32" s="18"/>
      <c r="AJ32" s="18" t="str">
        <f>IF(T_MEASURES[[#This Row],[Education]],"Yes","No")</f>
        <v>No</v>
      </c>
      <c r="AK32" s="18"/>
      <c r="AL32" s="18" t="str">
        <f>IF(T_MEASURES[[#This Row],[Social Services]],"Yes","No")</f>
        <v>No</v>
      </c>
      <c r="AM32" s="18"/>
      <c r="AN32" s="18" t="str">
        <f>IF(T_MEASURES[[#This Row],[Emergency Services and Police]],"Yes","No")</f>
        <v>No</v>
      </c>
      <c r="AO32" s="18"/>
      <c r="AP32" s="18" t="str">
        <f>IF(T_MEASURES[[#This Row],[Parks and gardens (Urban Green Infrastructure)]],"Yes","No")</f>
        <v>No</v>
      </c>
      <c r="AQ32" s="18"/>
      <c r="AR32" s="18" t="str">
        <f>IF(T_MEASURES[[#This Row],[Transport]],"Yes","No")</f>
        <v>No</v>
      </c>
      <c r="AS32" s="158"/>
      <c r="AT32" s="1" t="str">
        <f>IF(T_MEASURES[[#This Row],[Coordination]],"Yes","No")</f>
        <v>No</v>
      </c>
      <c r="AU32" s="2">
        <v>1</v>
      </c>
      <c r="AV32" s="1">
        <v>1</v>
      </c>
      <c r="AW32" s="1">
        <v>1</v>
      </c>
      <c r="AX32" s="1">
        <v>1</v>
      </c>
      <c r="AY32" s="3">
        <v>1</v>
      </c>
      <c r="AZ32" s="86">
        <f>SUMPRODUCT($AT$15:$AX$15,T_MEASURES[[#This Row],[&lt;5.000]:[&gt;100.000]])</f>
        <v>1</v>
      </c>
      <c r="BA32" s="1">
        <v>1</v>
      </c>
      <c r="BB32" s="1">
        <v>1</v>
      </c>
      <c r="BC32" s="1">
        <v>1</v>
      </c>
      <c r="BD32" s="1">
        <v>1</v>
      </c>
      <c r="BE32" s="1">
        <v>1</v>
      </c>
      <c r="BF32" s="1">
        <v>1</v>
      </c>
      <c r="BG32" s="1">
        <v>1</v>
      </c>
      <c r="BH32" s="86" cm="1">
        <f t="array" ref="BH32">SUMPRODUCT(--((T_MEASURES[[#This Row],[Health or social care centers]:[Schools / Educational centers]] + $AZ$15:$BF$15)&gt;0))</f>
        <v>7</v>
      </c>
      <c r="BI32" s="88">
        <v>0</v>
      </c>
      <c r="BJ32" s="88">
        <v>0</v>
      </c>
      <c r="BK32" s="88">
        <v>0</v>
      </c>
      <c r="BL32" s="88">
        <v>1</v>
      </c>
      <c r="BM32" s="88">
        <v>3</v>
      </c>
      <c r="BN32" s="88">
        <v>2</v>
      </c>
      <c r="BO32" s="88">
        <v>3</v>
      </c>
      <c r="BP32" s="88">
        <v>3</v>
      </c>
      <c r="BQ32" s="96" cm="1">
        <f t="array" ref="BQ32">T_MEASURES[[#This Row],[Apply size]]*(SUMPRODUCT(T_MEASURES[[#This Row],[C1_Urban Cooling]:[C8_Time]],TRANSPOSE('2.WEIGHTS'!$L$12:$L$19))+(ROW(C32)-ROW($C$18)+1)*0.0000000001)*100</f>
        <v>150.00000014999998</v>
      </c>
      <c r="BR32" s="21"/>
      <c r="BS32" s="38"/>
    </row>
    <row r="33" spans="1:71" ht="33.6" x14ac:dyDescent="0.3">
      <c r="A33" s="21"/>
      <c r="B33" s="38"/>
      <c r="C33" s="21"/>
      <c r="D33" s="86">
        <f>IF(T_MEASURES[[#This Row],[Weight Criterion]]&lt;=0,"",_xlfn.RANK.EQ(T_MEASURES[[#This Row],[Weight Criterion]],T_MEASURES[Weight Criterion]))</f>
        <v>117</v>
      </c>
      <c r="E33" s="152" t="s">
        <v>158</v>
      </c>
      <c r="F33" s="150" t="s">
        <v>55</v>
      </c>
      <c r="G33" s="150" t="s">
        <v>44</v>
      </c>
      <c r="H33" s="150" t="s">
        <v>145</v>
      </c>
      <c r="I33" s="150" t="s">
        <v>159</v>
      </c>
      <c r="J33" s="150"/>
      <c r="K33" s="153">
        <v>1</v>
      </c>
      <c r="L33" s="18"/>
      <c r="M33" s="18"/>
      <c r="N33" s="154" t="str">
        <f t="shared" si="0"/>
        <v>€</v>
      </c>
      <c r="O33" s="155">
        <v>1</v>
      </c>
      <c r="P33" s="155"/>
      <c r="Q33" s="19"/>
      <c r="R33" s="155"/>
      <c r="S33" s="72" t="str">
        <f>IF(T_MEASURES[[#This Row],[No risk (0)]]=1,"■","")</f>
        <v>■</v>
      </c>
      <c r="T33" s="73" t="str">
        <f>IF(T_MEASURES[[#This Row],[Low risk (1)]]=1,"■","")</f>
        <v/>
      </c>
      <c r="U33" s="74" t="str">
        <f>IF(T_MEASURES[[#This Row],[Medium risk (2)]]=1,"■","")</f>
        <v/>
      </c>
      <c r="V33" s="71" t="str">
        <f>IF(T_MEASURES[[#This Row],[High risk (3)]]=1,"■","")</f>
        <v/>
      </c>
      <c r="W33" s="18" t="str">
        <f t="shared" si="1"/>
        <v>1. No Risk (Green)</v>
      </c>
      <c r="X33" s="18">
        <f>COUNT(T_MEASURES[[#This Row],[Buildings and public facilities]:[Coordination]])</f>
        <v>2</v>
      </c>
      <c r="Y33" s="18"/>
      <c r="Z33" s="18" t="str">
        <f>IF(T_MEASURES[[#This Row],[Buildings and public facilities]]=1,"Yes","No")</f>
        <v>No</v>
      </c>
      <c r="AA33" s="18">
        <v>1</v>
      </c>
      <c r="AB33" s="18" t="str">
        <f>IF(T_MEASURES[[#This Row],[Urban planning]]=1,"Yes","No")</f>
        <v>Yes</v>
      </c>
      <c r="AC33" s="18"/>
      <c r="AD33" s="18" t="str">
        <f>IF(T_MEASURES[[#This Row],[Culture and Sports]],"Yes","No")</f>
        <v>No</v>
      </c>
      <c r="AE33" s="18"/>
      <c r="AF33" s="18" t="str">
        <f>IF(T_MEASURES[[#This Row],[Tourism]],"Yes","No")</f>
        <v>No</v>
      </c>
      <c r="AG33" s="18"/>
      <c r="AH33" s="18" t="str">
        <f>IF(T_MEASURES[[#This Row],[Occupational risks]],"Yes","No")</f>
        <v>No</v>
      </c>
      <c r="AI33" s="18"/>
      <c r="AJ33" s="18" t="str">
        <f>IF(T_MEASURES[[#This Row],[Education]],"Yes","No")</f>
        <v>No</v>
      </c>
      <c r="AK33" s="18"/>
      <c r="AL33" s="18" t="str">
        <f>IF(T_MEASURES[[#This Row],[Social Services]],"Yes","No")</f>
        <v>No</v>
      </c>
      <c r="AM33" s="18"/>
      <c r="AN33" s="18" t="str">
        <f>IF(T_MEASURES[[#This Row],[Emergency Services and Police]],"Yes","No")</f>
        <v>No</v>
      </c>
      <c r="AO33" s="18">
        <v>1</v>
      </c>
      <c r="AP33" s="18" t="str">
        <f>IF(T_MEASURES[[#This Row],[Parks and gardens (Urban Green Infrastructure)]],"Yes","No")</f>
        <v>Yes</v>
      </c>
      <c r="AQ33" s="18"/>
      <c r="AR33" s="18" t="str">
        <f>IF(T_MEASURES[[#This Row],[Transport]],"Yes","No")</f>
        <v>No</v>
      </c>
      <c r="AS33" s="158"/>
      <c r="AT33" s="1" t="str">
        <f>IF(T_MEASURES[[#This Row],[Coordination]],"Yes","No")</f>
        <v>No</v>
      </c>
      <c r="AU33" s="2">
        <v>1</v>
      </c>
      <c r="AV33" s="1">
        <v>1</v>
      </c>
      <c r="AW33" s="1">
        <v>1</v>
      </c>
      <c r="AX33" s="1">
        <v>1</v>
      </c>
      <c r="AY33" s="3">
        <v>1</v>
      </c>
      <c r="AZ33" s="86">
        <f>SUMPRODUCT($AT$15:$AX$15,T_MEASURES[[#This Row],[&lt;5.000]:[&gt;100.000]])</f>
        <v>1</v>
      </c>
      <c r="BA33" s="1">
        <v>1</v>
      </c>
      <c r="BB33" s="1">
        <v>1</v>
      </c>
      <c r="BC33" s="1">
        <v>1</v>
      </c>
      <c r="BD33" s="1">
        <v>1</v>
      </c>
      <c r="BE33" s="1">
        <v>1</v>
      </c>
      <c r="BF33" s="1">
        <v>1</v>
      </c>
      <c r="BG33" s="1">
        <v>1</v>
      </c>
      <c r="BH33" s="86" cm="1">
        <f t="array" ref="BH33">SUMPRODUCT(--((T_MEASURES[[#This Row],[Health or social care centers]:[Schools / Educational centers]] + $AZ$15:$BF$15)&gt;0))</f>
        <v>7</v>
      </c>
      <c r="BI33" s="1">
        <v>0</v>
      </c>
      <c r="BJ33" s="1">
        <v>0</v>
      </c>
      <c r="BK33" s="1">
        <v>2</v>
      </c>
      <c r="BL33" s="1">
        <v>3</v>
      </c>
      <c r="BM33" s="1">
        <v>2</v>
      </c>
      <c r="BN33" s="1">
        <v>1</v>
      </c>
      <c r="BO33" s="1">
        <v>2</v>
      </c>
      <c r="BP33" s="1">
        <v>3</v>
      </c>
      <c r="BQ33" s="96" cm="1">
        <f t="array" ref="BQ33">T_MEASURES[[#This Row],[Apply size]]*(SUMPRODUCT(T_MEASURES[[#This Row],[C1_Urban Cooling]:[C8_Time]],TRANSPOSE('2.WEIGHTS'!$L$12:$L$19))+(ROW(C33)-ROW($C$18)+1)*0.0000000001)*100</f>
        <v>162.50000015999998</v>
      </c>
      <c r="BR33" s="21"/>
      <c r="BS33" s="38"/>
    </row>
    <row r="34" spans="1:71" ht="33.6" x14ac:dyDescent="0.3">
      <c r="A34" s="21"/>
      <c r="B34" s="38"/>
      <c r="C34" s="21"/>
      <c r="D34" s="86">
        <f>IF(T_MEASURES[[#This Row],[Weight Criterion]]&lt;=0,"",_xlfn.RANK.EQ(T_MEASURES[[#This Row],[Weight Criterion]],T_MEASURES[Weight Criterion]))</f>
        <v>102</v>
      </c>
      <c r="E34" s="152" t="s">
        <v>160</v>
      </c>
      <c r="F34" s="150" t="s">
        <v>55</v>
      </c>
      <c r="G34" s="150" t="s">
        <v>41</v>
      </c>
      <c r="H34" s="150" t="s">
        <v>129</v>
      </c>
      <c r="I34" s="150" t="s">
        <v>161</v>
      </c>
      <c r="J34" s="150"/>
      <c r="K34" s="153"/>
      <c r="L34" s="18">
        <v>1</v>
      </c>
      <c r="M34" s="18">
        <v>1</v>
      </c>
      <c r="N34" s="154" t="str">
        <f t="shared" si="0"/>
        <v>€€€</v>
      </c>
      <c r="O34" s="155">
        <v>1</v>
      </c>
      <c r="P34" s="155"/>
      <c r="Q34" s="19"/>
      <c r="R34" s="155"/>
      <c r="S34" s="72" t="str">
        <f>IF(T_MEASURES[[#This Row],[No risk (0)]]=1,"■","")</f>
        <v>■</v>
      </c>
      <c r="T34" s="73" t="str">
        <f>IF(T_MEASURES[[#This Row],[Low risk (1)]]=1,"■","")</f>
        <v/>
      </c>
      <c r="U34" s="74" t="str">
        <f>IF(T_MEASURES[[#This Row],[Medium risk (2)]]=1,"■","")</f>
        <v/>
      </c>
      <c r="V34" s="71" t="str">
        <f>IF(T_MEASURES[[#This Row],[High risk (3)]]=1,"■","")</f>
        <v/>
      </c>
      <c r="W34" s="18" t="str">
        <f t="shared" si="1"/>
        <v>1. No Risk (Green)</v>
      </c>
      <c r="X34" s="18">
        <f>COUNT(T_MEASURES[[#This Row],[Buildings and public facilities]:[Coordination]])</f>
        <v>1</v>
      </c>
      <c r="Y34" s="18"/>
      <c r="Z34" s="18" t="str">
        <f>IF(T_MEASURES[[#This Row],[Buildings and public facilities]]=1,"Yes","No")</f>
        <v>No</v>
      </c>
      <c r="AA34" s="18"/>
      <c r="AB34" s="18" t="str">
        <f>IF(T_MEASURES[[#This Row],[Urban planning]]=1,"Yes","No")</f>
        <v>No</v>
      </c>
      <c r="AC34" s="18"/>
      <c r="AD34" s="18" t="str">
        <f>IF(T_MEASURES[[#This Row],[Culture and Sports]],"Yes","No")</f>
        <v>No</v>
      </c>
      <c r="AE34" s="18"/>
      <c r="AF34" s="18" t="str">
        <f>IF(T_MEASURES[[#This Row],[Tourism]],"Yes","No")</f>
        <v>No</v>
      </c>
      <c r="AG34" s="18"/>
      <c r="AH34" s="18" t="str">
        <f>IF(T_MEASURES[[#This Row],[Occupational risks]],"Yes","No")</f>
        <v>No</v>
      </c>
      <c r="AI34" s="18"/>
      <c r="AJ34" s="18" t="str">
        <f>IF(T_MEASURES[[#This Row],[Education]],"Yes","No")</f>
        <v>No</v>
      </c>
      <c r="AK34" s="18"/>
      <c r="AL34" s="18" t="str">
        <f>IF(T_MEASURES[[#This Row],[Social Services]],"Yes","No")</f>
        <v>No</v>
      </c>
      <c r="AM34" s="18"/>
      <c r="AN34" s="18" t="str">
        <f>IF(T_MEASURES[[#This Row],[Emergency Services and Police]],"Yes","No")</f>
        <v>No</v>
      </c>
      <c r="AO34" s="18">
        <v>1</v>
      </c>
      <c r="AP34" s="18" t="str">
        <f>IF(T_MEASURES[[#This Row],[Parks and gardens (Urban Green Infrastructure)]],"Yes","No")</f>
        <v>Yes</v>
      </c>
      <c r="AQ34" s="18"/>
      <c r="AR34" s="18" t="str">
        <f>IF(T_MEASURES[[#This Row],[Transport]],"Yes","No")</f>
        <v>No</v>
      </c>
      <c r="AS34" s="158"/>
      <c r="AT34" s="1" t="str">
        <f>IF(T_MEASURES[[#This Row],[Coordination]],"Yes","No")</f>
        <v>No</v>
      </c>
      <c r="AU34" s="2">
        <v>1</v>
      </c>
      <c r="AV34" s="1">
        <v>1</v>
      </c>
      <c r="AW34" s="1">
        <v>1</v>
      </c>
      <c r="AX34" s="1">
        <v>1</v>
      </c>
      <c r="AY34" s="3">
        <v>1</v>
      </c>
      <c r="AZ34" s="86">
        <f>SUMPRODUCT($AT$15:$AX$15,T_MEASURES[[#This Row],[&lt;5.000]:[&gt;100.000]])</f>
        <v>1</v>
      </c>
      <c r="BA34" s="1">
        <v>1</v>
      </c>
      <c r="BB34" s="1">
        <v>1</v>
      </c>
      <c r="BC34" s="1">
        <v>1</v>
      </c>
      <c r="BD34" s="1">
        <v>1</v>
      </c>
      <c r="BE34" s="1">
        <v>1</v>
      </c>
      <c r="BF34" s="1">
        <v>1</v>
      </c>
      <c r="BG34" s="1">
        <v>1</v>
      </c>
      <c r="BH34" s="86" cm="1">
        <f t="array" ref="BH34">SUMPRODUCT(--((T_MEASURES[[#This Row],[Health or social care centers]:[Schools / Educational centers]] + $AZ$15:$BF$15)&gt;0))</f>
        <v>7</v>
      </c>
      <c r="BI34" s="88">
        <v>3</v>
      </c>
      <c r="BJ34" s="88">
        <v>3</v>
      </c>
      <c r="BK34" s="88">
        <v>1</v>
      </c>
      <c r="BL34" s="88">
        <v>2</v>
      </c>
      <c r="BM34" s="88">
        <v>1</v>
      </c>
      <c r="BN34" s="88">
        <v>1</v>
      </c>
      <c r="BO34" s="88">
        <v>2</v>
      </c>
      <c r="BP34" s="88">
        <v>1</v>
      </c>
      <c r="BQ34" s="96" cm="1">
        <f t="array" ref="BQ34">T_MEASURES[[#This Row],[Apply size]]*(SUMPRODUCT(T_MEASURES[[#This Row],[C1_Urban Cooling]:[C8_Time]],TRANSPOSE('2.WEIGHTS'!$L$12:$L$19))+(ROW(C34)-ROW($C$18)+1)*0.0000000001)*100</f>
        <v>175.00000016999999</v>
      </c>
      <c r="BR34" s="21"/>
      <c r="BS34" s="38"/>
    </row>
    <row r="35" spans="1:71" ht="33.6" x14ac:dyDescent="0.3">
      <c r="A35" s="21"/>
      <c r="B35" s="38"/>
      <c r="C35" s="21"/>
      <c r="D35" s="86">
        <f>IF(T_MEASURES[[#This Row],[Weight Criterion]]&lt;=0,"",_xlfn.RANK.EQ(T_MEASURES[[#This Row],[Weight Criterion]],T_MEASURES[Weight Criterion]))</f>
        <v>80</v>
      </c>
      <c r="E35" s="152" t="s">
        <v>162</v>
      </c>
      <c r="F35" s="150" t="s">
        <v>55</v>
      </c>
      <c r="G35" s="150" t="s">
        <v>41</v>
      </c>
      <c r="H35" s="150" t="s">
        <v>129</v>
      </c>
      <c r="I35" s="150" t="s">
        <v>163</v>
      </c>
      <c r="J35" s="150"/>
      <c r="K35" s="153"/>
      <c r="L35" s="18">
        <v>1</v>
      </c>
      <c r="M35" s="18">
        <v>1</v>
      </c>
      <c r="N35" s="154" t="str">
        <f t="shared" si="0"/>
        <v>€€€</v>
      </c>
      <c r="O35" s="155">
        <v>1</v>
      </c>
      <c r="P35" s="155"/>
      <c r="Q35" s="19"/>
      <c r="R35" s="155"/>
      <c r="S35" s="72" t="str">
        <f>IF(T_MEASURES[[#This Row],[No risk (0)]]=1,"■","")</f>
        <v>■</v>
      </c>
      <c r="T35" s="73" t="str">
        <f>IF(T_MEASURES[[#This Row],[Low risk (1)]]=1,"■","")</f>
        <v/>
      </c>
      <c r="U35" s="74" t="str">
        <f>IF(T_MEASURES[[#This Row],[Medium risk (2)]]=1,"■","")</f>
        <v/>
      </c>
      <c r="V35" s="71" t="str">
        <f>IF(T_MEASURES[[#This Row],[High risk (3)]]=1,"■","")</f>
        <v/>
      </c>
      <c r="W35" s="18" t="str">
        <f t="shared" si="1"/>
        <v>1. No Risk (Green)</v>
      </c>
      <c r="X35" s="18">
        <f>COUNT(T_MEASURES[[#This Row],[Buildings and public facilities]:[Coordination]])</f>
        <v>2</v>
      </c>
      <c r="Y35" s="18"/>
      <c r="Z35" s="18" t="str">
        <f>IF(T_MEASURES[[#This Row],[Buildings and public facilities]]=1,"Yes","No")</f>
        <v>No</v>
      </c>
      <c r="AA35" s="18"/>
      <c r="AB35" s="18" t="str">
        <f>IF(T_MEASURES[[#This Row],[Urban planning]]=1,"Yes","No")</f>
        <v>No</v>
      </c>
      <c r="AC35" s="18"/>
      <c r="AD35" s="18" t="str">
        <f>IF(T_MEASURES[[#This Row],[Culture and Sports]],"Yes","No")</f>
        <v>No</v>
      </c>
      <c r="AE35" s="18"/>
      <c r="AF35" s="18" t="str">
        <f>IF(T_MEASURES[[#This Row],[Tourism]],"Yes","No")</f>
        <v>No</v>
      </c>
      <c r="AG35" s="18"/>
      <c r="AH35" s="18" t="str">
        <f>IF(T_MEASURES[[#This Row],[Occupational risks]],"Yes","No")</f>
        <v>No</v>
      </c>
      <c r="AI35" s="18">
        <v>1</v>
      </c>
      <c r="AJ35" s="18" t="str">
        <f>IF(T_MEASURES[[#This Row],[Education]],"Yes","No")</f>
        <v>Yes</v>
      </c>
      <c r="AK35" s="18"/>
      <c r="AL35" s="18" t="str">
        <f>IF(T_MEASURES[[#This Row],[Social Services]],"Yes","No")</f>
        <v>No</v>
      </c>
      <c r="AM35" s="18"/>
      <c r="AN35" s="18" t="str">
        <f>IF(T_MEASURES[[#This Row],[Emergency Services and Police]],"Yes","No")</f>
        <v>No</v>
      </c>
      <c r="AO35" s="18">
        <v>1</v>
      </c>
      <c r="AP35" s="18" t="str">
        <f>IF(T_MEASURES[[#This Row],[Parks and gardens (Urban Green Infrastructure)]],"Yes","No")</f>
        <v>Yes</v>
      </c>
      <c r="AQ35" s="18"/>
      <c r="AR35" s="18" t="str">
        <f>IF(T_MEASURES[[#This Row],[Transport]],"Yes","No")</f>
        <v>No</v>
      </c>
      <c r="AS35" s="158"/>
      <c r="AT35" s="1" t="str">
        <f>IF(T_MEASURES[[#This Row],[Coordination]],"Yes","No")</f>
        <v>No</v>
      </c>
      <c r="AU35" s="2">
        <v>1</v>
      </c>
      <c r="AV35" s="1">
        <v>1</v>
      </c>
      <c r="AW35" s="1">
        <v>1</v>
      </c>
      <c r="AX35" s="1">
        <v>1</v>
      </c>
      <c r="AY35" s="3">
        <v>1</v>
      </c>
      <c r="AZ35" s="86">
        <f>SUMPRODUCT($AT$15:$AX$15,T_MEASURES[[#This Row],[&lt;5.000]:[&gt;100.000]])</f>
        <v>1</v>
      </c>
      <c r="BA35" s="1">
        <v>1</v>
      </c>
      <c r="BB35" s="1">
        <v>1</v>
      </c>
      <c r="BC35" s="1">
        <v>1</v>
      </c>
      <c r="BD35" s="1">
        <v>1</v>
      </c>
      <c r="BE35" s="1">
        <v>1</v>
      </c>
      <c r="BF35" s="1">
        <v>1</v>
      </c>
      <c r="BG35" s="1"/>
      <c r="BH35" s="86" cm="1">
        <f t="array" ref="BH35">SUMPRODUCT(--((T_MEASURES[[#This Row],[Health or social care centers]:[Schools / Educational centers]] + $AZ$15:$BF$15)&gt;0))</f>
        <v>6</v>
      </c>
      <c r="BI35" s="1">
        <v>3</v>
      </c>
      <c r="BJ35" s="1">
        <v>3</v>
      </c>
      <c r="BK35" s="1">
        <v>3</v>
      </c>
      <c r="BL35" s="1">
        <v>2</v>
      </c>
      <c r="BM35" s="1">
        <v>1</v>
      </c>
      <c r="BN35" s="1">
        <v>1</v>
      </c>
      <c r="BO35" s="1">
        <v>1</v>
      </c>
      <c r="BP35" s="1">
        <v>1</v>
      </c>
      <c r="BQ35" s="96" cm="1">
        <f t="array" ref="BQ35">T_MEASURES[[#This Row],[Apply size]]*(SUMPRODUCT(T_MEASURES[[#This Row],[C1_Urban Cooling]:[C8_Time]],TRANSPOSE('2.WEIGHTS'!$L$12:$L$19))+(ROW(C35)-ROW($C$18)+1)*0.0000000001)*100</f>
        <v>187.50000018</v>
      </c>
      <c r="BR35" s="21"/>
      <c r="BS35" s="38"/>
    </row>
    <row r="36" spans="1:71" ht="33.6" x14ac:dyDescent="0.3">
      <c r="A36" s="21"/>
      <c r="B36" s="38"/>
      <c r="C36" s="21"/>
      <c r="D36" s="86">
        <f>IF(T_MEASURES[[#This Row],[Weight Criterion]]&lt;=0,"",_xlfn.RANK.EQ(T_MEASURES[[#This Row],[Weight Criterion]],T_MEASURES[Weight Criterion]))</f>
        <v>101</v>
      </c>
      <c r="E36" s="152" t="s">
        <v>164</v>
      </c>
      <c r="F36" s="150" t="s">
        <v>55</v>
      </c>
      <c r="G36" s="150" t="s">
        <v>41</v>
      </c>
      <c r="H36" s="150" t="s">
        <v>129</v>
      </c>
      <c r="I36" s="150" t="s">
        <v>165</v>
      </c>
      <c r="J36" s="150"/>
      <c r="K36" s="153"/>
      <c r="L36" s="18">
        <v>1</v>
      </c>
      <c r="M36" s="18">
        <v>1</v>
      </c>
      <c r="N36" s="154" t="str">
        <f t="shared" si="0"/>
        <v>€€€</v>
      </c>
      <c r="O36" s="155">
        <v>1</v>
      </c>
      <c r="P36" s="155"/>
      <c r="Q36" s="19"/>
      <c r="R36" s="155"/>
      <c r="S36" s="72" t="str">
        <f>IF(T_MEASURES[[#This Row],[No risk (0)]]=1,"■","")</f>
        <v>■</v>
      </c>
      <c r="T36" s="73" t="str">
        <f>IF(T_MEASURES[[#This Row],[Low risk (1)]]=1,"■","")</f>
        <v/>
      </c>
      <c r="U36" s="74" t="str">
        <f>IF(T_MEASURES[[#This Row],[Medium risk (2)]]=1,"■","")</f>
        <v/>
      </c>
      <c r="V36" s="71" t="str">
        <f>IF(T_MEASURES[[#This Row],[High risk (3)]]=1,"■","")</f>
        <v/>
      </c>
      <c r="W36" s="18" t="str">
        <f t="shared" si="1"/>
        <v>1. No Risk (Green)</v>
      </c>
      <c r="X36" s="18">
        <f>COUNT(T_MEASURES[[#This Row],[Buildings and public facilities]:[Coordination]])</f>
        <v>2</v>
      </c>
      <c r="Y36" s="18"/>
      <c r="Z36" s="18" t="str">
        <f>IF(T_MEASURES[[#This Row],[Buildings and public facilities]]=1,"Yes","No")</f>
        <v>No</v>
      </c>
      <c r="AA36" s="18">
        <v>1</v>
      </c>
      <c r="AB36" s="18" t="str">
        <f>IF(T_MEASURES[[#This Row],[Urban planning]]=1,"Yes","No")</f>
        <v>Yes</v>
      </c>
      <c r="AC36" s="18"/>
      <c r="AD36" s="18" t="str">
        <f>IF(T_MEASURES[[#This Row],[Culture and Sports]],"Yes","No")</f>
        <v>No</v>
      </c>
      <c r="AE36" s="18"/>
      <c r="AF36" s="18" t="str">
        <f>IF(T_MEASURES[[#This Row],[Tourism]],"Yes","No")</f>
        <v>No</v>
      </c>
      <c r="AG36" s="18"/>
      <c r="AH36" s="18" t="str">
        <f>IF(T_MEASURES[[#This Row],[Occupational risks]],"Yes","No")</f>
        <v>No</v>
      </c>
      <c r="AI36" s="18"/>
      <c r="AJ36" s="18" t="str">
        <f>IF(T_MEASURES[[#This Row],[Education]],"Yes","No")</f>
        <v>No</v>
      </c>
      <c r="AK36" s="18"/>
      <c r="AL36" s="18" t="str">
        <f>IF(T_MEASURES[[#This Row],[Social Services]],"Yes","No")</f>
        <v>No</v>
      </c>
      <c r="AM36" s="18"/>
      <c r="AN36" s="18" t="str">
        <f>IF(T_MEASURES[[#This Row],[Emergency Services and Police]],"Yes","No")</f>
        <v>No</v>
      </c>
      <c r="AO36" s="18">
        <v>1</v>
      </c>
      <c r="AP36" s="18" t="str">
        <f>IF(T_MEASURES[[#This Row],[Parks and gardens (Urban Green Infrastructure)]],"Yes","No")</f>
        <v>Yes</v>
      </c>
      <c r="AQ36" s="18"/>
      <c r="AR36" s="18" t="str">
        <f>IF(T_MEASURES[[#This Row],[Transport]],"Yes","No")</f>
        <v>No</v>
      </c>
      <c r="AS36" s="158"/>
      <c r="AT36" s="1" t="str">
        <f>IF(T_MEASURES[[#This Row],[Coordination]],"Yes","No")</f>
        <v>No</v>
      </c>
      <c r="AU36" s="2">
        <v>1</v>
      </c>
      <c r="AV36" s="1">
        <v>1</v>
      </c>
      <c r="AW36" s="1">
        <v>1</v>
      </c>
      <c r="AX36" s="1">
        <v>1</v>
      </c>
      <c r="AY36" s="3">
        <v>1</v>
      </c>
      <c r="AZ36" s="86">
        <f>SUMPRODUCT($AT$15:$AX$15,T_MEASURES[[#This Row],[&lt;5.000]:[&gt;100.000]])</f>
        <v>1</v>
      </c>
      <c r="BA36" s="1">
        <v>1</v>
      </c>
      <c r="BB36" s="1">
        <v>1</v>
      </c>
      <c r="BC36" s="1">
        <v>1</v>
      </c>
      <c r="BD36" s="1">
        <v>1</v>
      </c>
      <c r="BE36" s="1">
        <v>1</v>
      </c>
      <c r="BF36" s="1">
        <v>1</v>
      </c>
      <c r="BG36" s="1">
        <v>1</v>
      </c>
      <c r="BH36" s="86" cm="1">
        <f t="array" ref="BH36">SUMPRODUCT(--((T_MEASURES[[#This Row],[Health or social care centers]:[Schools / Educational centers]] + $AZ$15:$BF$15)&gt;0))</f>
        <v>7</v>
      </c>
      <c r="BI36" s="88">
        <v>2</v>
      </c>
      <c r="BJ36" s="88">
        <v>3</v>
      </c>
      <c r="BK36" s="88">
        <v>3</v>
      </c>
      <c r="BL36" s="88">
        <v>2</v>
      </c>
      <c r="BM36" s="88">
        <v>1</v>
      </c>
      <c r="BN36" s="88">
        <v>1</v>
      </c>
      <c r="BO36" s="88">
        <v>1</v>
      </c>
      <c r="BP36" s="88">
        <v>1</v>
      </c>
      <c r="BQ36" s="96" cm="1">
        <f t="array" ref="BQ36">T_MEASURES[[#This Row],[Apply size]]*(SUMPRODUCT(T_MEASURES[[#This Row],[C1_Urban Cooling]:[C8_Time]],TRANSPOSE('2.WEIGHTS'!$L$12:$L$19))+(ROW(C36)-ROW($C$18)+1)*0.0000000001)*100</f>
        <v>175.00000018999998</v>
      </c>
      <c r="BR36" s="21"/>
      <c r="BS36" s="38"/>
    </row>
    <row r="37" spans="1:71" ht="33.6" x14ac:dyDescent="0.3">
      <c r="A37" s="21"/>
      <c r="B37" s="38"/>
      <c r="C37" s="21"/>
      <c r="D37" s="86">
        <f>IF(T_MEASURES[[#This Row],[Weight Criterion]]&lt;=0,"",_xlfn.RANK.EQ(T_MEASURES[[#This Row],[Weight Criterion]],T_MEASURES[Weight Criterion]))</f>
        <v>79</v>
      </c>
      <c r="E37" s="152" t="s">
        <v>166</v>
      </c>
      <c r="F37" s="150" t="s">
        <v>55</v>
      </c>
      <c r="G37" s="150" t="s">
        <v>41</v>
      </c>
      <c r="H37" s="150" t="s">
        <v>129</v>
      </c>
      <c r="I37" s="151" t="s">
        <v>167</v>
      </c>
      <c r="J37" s="151"/>
      <c r="K37" s="153"/>
      <c r="L37" s="18"/>
      <c r="M37" s="18">
        <v>1</v>
      </c>
      <c r="N37" s="154" t="str">
        <f t="shared" si="0"/>
        <v>€€€</v>
      </c>
      <c r="O37" s="155">
        <v>1</v>
      </c>
      <c r="P37" s="155"/>
      <c r="Q37" s="19"/>
      <c r="R37" s="155"/>
      <c r="S37" s="72" t="str">
        <f>IF(T_MEASURES[[#This Row],[No risk (0)]]=1,"■","")</f>
        <v>■</v>
      </c>
      <c r="T37" s="73" t="str">
        <f>IF(T_MEASURES[[#This Row],[Low risk (1)]]=1,"■","")</f>
        <v/>
      </c>
      <c r="U37" s="74" t="str">
        <f>IF(T_MEASURES[[#This Row],[Medium risk (2)]]=1,"■","")</f>
        <v/>
      </c>
      <c r="V37" s="71" t="str">
        <f>IF(T_MEASURES[[#This Row],[High risk (3)]]=1,"■","")</f>
        <v/>
      </c>
      <c r="W37" s="18" t="str">
        <f t="shared" si="1"/>
        <v>1. No Risk (Green)</v>
      </c>
      <c r="X37" s="18">
        <f>COUNT(T_MEASURES[[#This Row],[Buildings and public facilities]:[Coordination]])</f>
        <v>2</v>
      </c>
      <c r="Y37" s="18">
        <v>1</v>
      </c>
      <c r="Z37" s="18" t="str">
        <f>IF(T_MEASURES[[#This Row],[Buildings and public facilities]]=1,"Yes","No")</f>
        <v>Yes</v>
      </c>
      <c r="AA37" s="18"/>
      <c r="AB37" s="18" t="str">
        <f>IF(T_MEASURES[[#This Row],[Urban planning]]=1,"Yes","No")</f>
        <v>No</v>
      </c>
      <c r="AC37" s="18"/>
      <c r="AD37" s="18" t="str">
        <f>IF(T_MEASURES[[#This Row],[Culture and Sports]],"Yes","No")</f>
        <v>No</v>
      </c>
      <c r="AE37" s="18"/>
      <c r="AF37" s="18" t="str">
        <f>IF(T_MEASURES[[#This Row],[Tourism]],"Yes","No")</f>
        <v>No</v>
      </c>
      <c r="AG37" s="18"/>
      <c r="AH37" s="18" t="str">
        <f>IF(T_MEASURES[[#This Row],[Occupational risks]],"Yes","No")</f>
        <v>No</v>
      </c>
      <c r="AI37" s="18"/>
      <c r="AJ37" s="18" t="str">
        <f>IF(T_MEASURES[[#This Row],[Education]],"Yes","No")</f>
        <v>No</v>
      </c>
      <c r="AK37" s="18"/>
      <c r="AL37" s="18" t="str">
        <f>IF(T_MEASURES[[#This Row],[Social Services]],"Yes","No")</f>
        <v>No</v>
      </c>
      <c r="AM37" s="18"/>
      <c r="AN37" s="18" t="str">
        <f>IF(T_MEASURES[[#This Row],[Emergency Services and Police]],"Yes","No")</f>
        <v>No</v>
      </c>
      <c r="AO37" s="18">
        <v>1</v>
      </c>
      <c r="AP37" s="18" t="str">
        <f>IF(T_MEASURES[[#This Row],[Parks and gardens (Urban Green Infrastructure)]],"Yes","No")</f>
        <v>Yes</v>
      </c>
      <c r="AQ37" s="18"/>
      <c r="AR37" s="18" t="str">
        <f>IF(T_MEASURES[[#This Row],[Transport]],"Yes","No")</f>
        <v>No</v>
      </c>
      <c r="AS37" s="158"/>
      <c r="AT37" s="1" t="str">
        <f>IF(T_MEASURES[[#This Row],[Coordination]],"Yes","No")</f>
        <v>No</v>
      </c>
      <c r="AU37" s="2">
        <v>1</v>
      </c>
      <c r="AV37" s="1">
        <v>1</v>
      </c>
      <c r="AW37" s="1">
        <v>1</v>
      </c>
      <c r="AX37" s="1">
        <v>1</v>
      </c>
      <c r="AY37" s="3">
        <v>1</v>
      </c>
      <c r="AZ37" s="86">
        <f>SUMPRODUCT($AT$15:$AX$15,T_MEASURES[[#This Row],[&lt;5.000]:[&gt;100.000]])</f>
        <v>1</v>
      </c>
      <c r="BA37" s="1">
        <v>1</v>
      </c>
      <c r="BB37" s="1">
        <v>1</v>
      </c>
      <c r="BC37" s="1">
        <v>1</v>
      </c>
      <c r="BD37" s="1">
        <v>1</v>
      </c>
      <c r="BE37" s="1">
        <v>1</v>
      </c>
      <c r="BF37" s="1">
        <v>1</v>
      </c>
      <c r="BG37" s="1">
        <v>1</v>
      </c>
      <c r="BH37" s="86" cm="1">
        <f t="array" ref="BH37">SUMPRODUCT(--((T_MEASURES[[#This Row],[Health or social care centers]:[Schools / Educational centers]] + $AZ$15:$BF$15)&gt;0))</f>
        <v>7</v>
      </c>
      <c r="BI37" s="1">
        <v>3</v>
      </c>
      <c r="BJ37" s="1">
        <v>0</v>
      </c>
      <c r="BK37" s="1">
        <v>1</v>
      </c>
      <c r="BL37" s="1">
        <v>1</v>
      </c>
      <c r="BM37" s="1">
        <v>2</v>
      </c>
      <c r="BN37" s="1">
        <v>2</v>
      </c>
      <c r="BO37" s="1">
        <v>3</v>
      </c>
      <c r="BP37" s="1">
        <v>3</v>
      </c>
      <c r="BQ37" s="96" cm="1">
        <f t="array" ref="BQ37">T_MEASURES[[#This Row],[Apply size]]*(SUMPRODUCT(T_MEASURES[[#This Row],[C1_Urban Cooling]:[C8_Time]],TRANSPOSE('2.WEIGHTS'!$L$12:$L$19))+(ROW(C37)-ROW($C$18)+1)*0.0000000001)*100</f>
        <v>187.50000019999999</v>
      </c>
      <c r="BR37" s="21"/>
      <c r="BS37" s="38"/>
    </row>
    <row r="38" spans="1:71" ht="33.6" x14ac:dyDescent="0.3">
      <c r="A38" s="21"/>
      <c r="B38" s="38"/>
      <c r="C38" s="21"/>
      <c r="D38" s="86">
        <f>IF(T_MEASURES[[#This Row],[Weight Criterion]]&lt;=0,"",_xlfn.RANK.EQ(T_MEASURES[[#This Row],[Weight Criterion]],T_MEASURES[Weight Criterion]))</f>
        <v>100</v>
      </c>
      <c r="E38" s="152" t="s">
        <v>168</v>
      </c>
      <c r="F38" s="150" t="s">
        <v>55</v>
      </c>
      <c r="G38" s="150" t="s">
        <v>41</v>
      </c>
      <c r="H38" s="150" t="s">
        <v>132</v>
      </c>
      <c r="I38" s="150" t="s">
        <v>417</v>
      </c>
      <c r="J38" s="150"/>
      <c r="K38" s="153"/>
      <c r="L38" s="18">
        <v>1</v>
      </c>
      <c r="M38" s="18">
        <v>1</v>
      </c>
      <c r="N38" s="154" t="str">
        <f t="shared" si="0"/>
        <v>€€€</v>
      </c>
      <c r="O38" s="155">
        <v>1</v>
      </c>
      <c r="P38" s="155"/>
      <c r="Q38" s="19"/>
      <c r="R38" s="155"/>
      <c r="S38" s="72" t="str">
        <f>IF(T_MEASURES[[#This Row],[No risk (0)]]=1,"■","")</f>
        <v>■</v>
      </c>
      <c r="T38" s="73" t="str">
        <f>IF(T_MEASURES[[#This Row],[Low risk (1)]]=1,"■","")</f>
        <v/>
      </c>
      <c r="U38" s="74" t="str">
        <f>IF(T_MEASURES[[#This Row],[Medium risk (2)]]=1,"■","")</f>
        <v/>
      </c>
      <c r="V38" s="71" t="str">
        <f>IF(T_MEASURES[[#This Row],[High risk (3)]]=1,"■","")</f>
        <v/>
      </c>
      <c r="W38" s="18" t="str">
        <f t="shared" si="1"/>
        <v>1. No Risk (Green)</v>
      </c>
      <c r="X38" s="18">
        <f>COUNT(T_MEASURES[[#This Row],[Buildings and public facilities]:[Coordination]])</f>
        <v>1</v>
      </c>
      <c r="Y38" s="18"/>
      <c r="Z38" s="18" t="str">
        <f>IF(T_MEASURES[[#This Row],[Buildings and public facilities]]=1,"Yes","No")</f>
        <v>No</v>
      </c>
      <c r="AA38" s="18">
        <v>1</v>
      </c>
      <c r="AB38" s="18" t="str">
        <f>IF(T_MEASURES[[#This Row],[Urban planning]]=1,"Yes","No")</f>
        <v>Yes</v>
      </c>
      <c r="AC38" s="18"/>
      <c r="AD38" s="18" t="str">
        <f>IF(T_MEASURES[[#This Row],[Culture and Sports]],"Yes","No")</f>
        <v>No</v>
      </c>
      <c r="AE38" s="18"/>
      <c r="AF38" s="18" t="str">
        <f>IF(T_MEASURES[[#This Row],[Tourism]],"Yes","No")</f>
        <v>No</v>
      </c>
      <c r="AG38" s="18"/>
      <c r="AH38" s="18" t="str">
        <f>IF(T_MEASURES[[#This Row],[Occupational risks]],"Yes","No")</f>
        <v>No</v>
      </c>
      <c r="AI38" s="18"/>
      <c r="AJ38" s="18" t="str">
        <f>IF(T_MEASURES[[#This Row],[Education]],"Yes","No")</f>
        <v>No</v>
      </c>
      <c r="AK38" s="18"/>
      <c r="AL38" s="18" t="str">
        <f>IF(T_MEASURES[[#This Row],[Social Services]],"Yes","No")</f>
        <v>No</v>
      </c>
      <c r="AM38" s="18"/>
      <c r="AN38" s="18" t="str">
        <f>IF(T_MEASURES[[#This Row],[Emergency Services and Police]],"Yes","No")</f>
        <v>No</v>
      </c>
      <c r="AO38" s="18"/>
      <c r="AP38" s="18" t="str">
        <f>IF(T_MEASURES[[#This Row],[Parks and gardens (Urban Green Infrastructure)]],"Yes","No")</f>
        <v>No</v>
      </c>
      <c r="AQ38" s="18"/>
      <c r="AR38" s="18" t="str">
        <f>IF(T_MEASURES[[#This Row],[Transport]],"Yes","No")</f>
        <v>No</v>
      </c>
      <c r="AS38" s="158"/>
      <c r="AT38" s="1" t="str">
        <f>IF(T_MEASURES[[#This Row],[Coordination]],"Yes","No")</f>
        <v>No</v>
      </c>
      <c r="AU38" s="2">
        <v>1</v>
      </c>
      <c r="AV38" s="1">
        <v>1</v>
      </c>
      <c r="AW38" s="1">
        <v>1</v>
      </c>
      <c r="AX38" s="1">
        <v>1</v>
      </c>
      <c r="AY38" s="3">
        <v>1</v>
      </c>
      <c r="AZ38" s="86">
        <f>SUMPRODUCT($AT$15:$AX$15,T_MEASURES[[#This Row],[&lt;5.000]:[&gt;100.000]])</f>
        <v>1</v>
      </c>
      <c r="BA38" s="1">
        <v>1</v>
      </c>
      <c r="BB38" s="1">
        <v>1</v>
      </c>
      <c r="BC38" s="1">
        <v>1</v>
      </c>
      <c r="BD38" s="1">
        <v>1</v>
      </c>
      <c r="BE38" s="1">
        <v>1</v>
      </c>
      <c r="BF38" s="1">
        <v>1</v>
      </c>
      <c r="BG38" s="1">
        <v>1</v>
      </c>
      <c r="BH38" s="86" cm="1">
        <f t="array" ref="BH38">SUMPRODUCT(--((T_MEASURES[[#This Row],[Health or social care centers]:[Schools / Educational centers]] + $AZ$15:$BF$15)&gt;0))</f>
        <v>7</v>
      </c>
      <c r="BI38" s="88">
        <v>2</v>
      </c>
      <c r="BJ38" s="88">
        <v>0</v>
      </c>
      <c r="BK38" s="88">
        <v>1</v>
      </c>
      <c r="BL38" s="88">
        <v>1</v>
      </c>
      <c r="BM38" s="88">
        <v>2</v>
      </c>
      <c r="BN38" s="88">
        <v>2</v>
      </c>
      <c r="BO38" s="88">
        <v>3</v>
      </c>
      <c r="BP38" s="88">
        <v>3</v>
      </c>
      <c r="BQ38" s="96" cm="1">
        <f t="array" ref="BQ38">T_MEASURES[[#This Row],[Apply size]]*(SUMPRODUCT(T_MEASURES[[#This Row],[C1_Urban Cooling]:[C8_Time]],TRANSPOSE('2.WEIGHTS'!$L$12:$L$19))+(ROW(C38)-ROW($C$18)+1)*0.0000000001)*100</f>
        <v>175.00000021</v>
      </c>
      <c r="BR38" s="21"/>
      <c r="BS38" s="38"/>
    </row>
    <row r="39" spans="1:71" ht="33.6" x14ac:dyDescent="0.3">
      <c r="A39" s="21"/>
      <c r="B39" s="38"/>
      <c r="C39" s="21"/>
      <c r="D39" s="86">
        <f>IF(T_MEASURES[[#This Row],[Weight Criterion]]&lt;=0,"",_xlfn.RANK.EQ(T_MEASURES[[#This Row],[Weight Criterion]],T_MEASURES[Weight Criterion]))</f>
        <v>132</v>
      </c>
      <c r="E39" s="152" t="s">
        <v>169</v>
      </c>
      <c r="F39" s="150" t="s">
        <v>55</v>
      </c>
      <c r="G39" s="150" t="s">
        <v>41</v>
      </c>
      <c r="H39" s="150" t="s">
        <v>132</v>
      </c>
      <c r="I39" s="151" t="s">
        <v>170</v>
      </c>
      <c r="J39" s="151"/>
      <c r="K39" s="153"/>
      <c r="L39" s="18">
        <v>1</v>
      </c>
      <c r="M39" s="18">
        <v>1</v>
      </c>
      <c r="N39" s="154" t="str">
        <f t="shared" si="0"/>
        <v>€€€</v>
      </c>
      <c r="O39" s="155">
        <v>1</v>
      </c>
      <c r="P39" s="155"/>
      <c r="Q39" s="19"/>
      <c r="R39" s="155"/>
      <c r="S39" s="72" t="str">
        <f>IF(T_MEASURES[[#This Row],[No risk (0)]]=1,"■","")</f>
        <v>■</v>
      </c>
      <c r="T39" s="73" t="str">
        <f>IF(T_MEASURES[[#This Row],[Low risk (1)]]=1,"■","")</f>
        <v/>
      </c>
      <c r="U39" s="74" t="str">
        <f>IF(T_MEASURES[[#This Row],[Medium risk (2)]]=1,"■","")</f>
        <v/>
      </c>
      <c r="V39" s="71" t="str">
        <f>IF(T_MEASURES[[#This Row],[High risk (3)]]=1,"■","")</f>
        <v/>
      </c>
      <c r="W39" s="18" t="str">
        <f t="shared" si="1"/>
        <v>1. No Risk (Green)</v>
      </c>
      <c r="X39" s="18">
        <f>COUNT(T_MEASURES[[#This Row],[Buildings and public facilities]:[Coordination]])</f>
        <v>1</v>
      </c>
      <c r="Y39" s="18"/>
      <c r="Z39" s="18" t="str">
        <f>IF(T_MEASURES[[#This Row],[Buildings and public facilities]]=1,"Yes","No")</f>
        <v>No</v>
      </c>
      <c r="AA39" s="18">
        <v>1</v>
      </c>
      <c r="AB39" s="18" t="str">
        <f>IF(T_MEASURES[[#This Row],[Urban planning]]=1,"Yes","No")</f>
        <v>Yes</v>
      </c>
      <c r="AC39" s="18"/>
      <c r="AD39" s="18" t="str">
        <f>IF(T_MEASURES[[#This Row],[Culture and Sports]],"Yes","No")</f>
        <v>No</v>
      </c>
      <c r="AE39" s="18"/>
      <c r="AF39" s="18" t="str">
        <f>IF(T_MEASURES[[#This Row],[Tourism]],"Yes","No")</f>
        <v>No</v>
      </c>
      <c r="AG39" s="18"/>
      <c r="AH39" s="18" t="str">
        <f>IF(T_MEASURES[[#This Row],[Occupational risks]],"Yes","No")</f>
        <v>No</v>
      </c>
      <c r="AI39" s="18"/>
      <c r="AJ39" s="18" t="str">
        <f>IF(T_MEASURES[[#This Row],[Education]],"Yes","No")</f>
        <v>No</v>
      </c>
      <c r="AK39" s="18"/>
      <c r="AL39" s="18" t="str">
        <f>IF(T_MEASURES[[#This Row],[Social Services]],"Yes","No")</f>
        <v>No</v>
      </c>
      <c r="AM39" s="18"/>
      <c r="AN39" s="18" t="str">
        <f>IF(T_MEASURES[[#This Row],[Emergency Services and Police]],"Yes","No")</f>
        <v>No</v>
      </c>
      <c r="AO39" s="18"/>
      <c r="AP39" s="18" t="str">
        <f>IF(T_MEASURES[[#This Row],[Parks and gardens (Urban Green Infrastructure)]],"Yes","No")</f>
        <v>No</v>
      </c>
      <c r="AQ39" s="18"/>
      <c r="AR39" s="18" t="str">
        <f>IF(T_MEASURES[[#This Row],[Transport]],"Yes","No")</f>
        <v>No</v>
      </c>
      <c r="AS39" s="158"/>
      <c r="AT39" s="1" t="str">
        <f>IF(T_MEASURES[[#This Row],[Coordination]],"Yes","No")</f>
        <v>No</v>
      </c>
      <c r="AU39" s="2">
        <v>1</v>
      </c>
      <c r="AV39" s="1">
        <v>1</v>
      </c>
      <c r="AW39" s="1">
        <v>1</v>
      </c>
      <c r="AX39" s="1">
        <v>1</v>
      </c>
      <c r="AY39" s="3">
        <v>1</v>
      </c>
      <c r="AZ39" s="86">
        <f>SUMPRODUCT($AT$15:$AX$15,T_MEASURES[[#This Row],[&lt;5.000]:[&gt;100.000]])</f>
        <v>1</v>
      </c>
      <c r="BA39" s="1">
        <v>1</v>
      </c>
      <c r="BB39" s="1">
        <v>1</v>
      </c>
      <c r="BC39" s="1">
        <v>1</v>
      </c>
      <c r="BD39" s="1">
        <v>1</v>
      </c>
      <c r="BE39" s="1">
        <v>1</v>
      </c>
      <c r="BF39" s="1">
        <v>1</v>
      </c>
      <c r="BG39" s="1">
        <v>1</v>
      </c>
      <c r="BH39" s="86" cm="1">
        <f t="array" ref="BH39">SUMPRODUCT(--((T_MEASURES[[#This Row],[Health or social care centers]:[Schools / Educational centers]] + $AZ$15:$BF$15)&gt;0))</f>
        <v>7</v>
      </c>
      <c r="BI39" s="1">
        <v>1</v>
      </c>
      <c r="BJ39" s="1">
        <v>0</v>
      </c>
      <c r="BK39" s="1">
        <v>1</v>
      </c>
      <c r="BL39" s="1">
        <v>1</v>
      </c>
      <c r="BM39" s="1">
        <v>2</v>
      </c>
      <c r="BN39" s="1">
        <v>1</v>
      </c>
      <c r="BO39" s="1">
        <v>2</v>
      </c>
      <c r="BP39" s="1">
        <v>3</v>
      </c>
      <c r="BQ39" s="96" cm="1">
        <f t="array" ref="BQ39">T_MEASURES[[#This Row],[Apply size]]*(SUMPRODUCT(T_MEASURES[[#This Row],[C1_Urban Cooling]:[C8_Time]],TRANSPOSE('2.WEIGHTS'!$L$12:$L$19))+(ROW(C39)-ROW($C$18)+1)*0.0000000001)*100</f>
        <v>137.50000022</v>
      </c>
      <c r="BR39" s="21"/>
      <c r="BS39" s="38"/>
    </row>
    <row r="40" spans="1:71" ht="33.6" x14ac:dyDescent="0.3">
      <c r="A40" s="21"/>
      <c r="B40" s="38"/>
      <c r="C40" s="21"/>
      <c r="D40" s="86">
        <f>IF(T_MEASURES[[#This Row],[Weight Criterion]]&lt;=0,"",_xlfn.RANK.EQ(T_MEASURES[[#This Row],[Weight Criterion]],T_MEASURES[Weight Criterion]))</f>
        <v>125</v>
      </c>
      <c r="E40" s="152" t="s">
        <v>171</v>
      </c>
      <c r="F40" s="150" t="s">
        <v>55</v>
      </c>
      <c r="G40" s="150" t="s">
        <v>44</v>
      </c>
      <c r="H40" s="150" t="s">
        <v>145</v>
      </c>
      <c r="I40" s="150" t="s">
        <v>172</v>
      </c>
      <c r="J40" s="150"/>
      <c r="K40" s="153"/>
      <c r="L40" s="18">
        <v>1</v>
      </c>
      <c r="M40" s="18">
        <v>1</v>
      </c>
      <c r="N40" s="154" t="str">
        <f t="shared" si="0"/>
        <v>€€€</v>
      </c>
      <c r="O40" s="155">
        <v>1</v>
      </c>
      <c r="P40" s="155"/>
      <c r="Q40" s="19"/>
      <c r="R40" s="155"/>
      <c r="S40" s="72" t="str">
        <f>IF(T_MEASURES[[#This Row],[No risk (0)]]=1,"■","")</f>
        <v>■</v>
      </c>
      <c r="T40" s="73" t="str">
        <f>IF(T_MEASURES[[#This Row],[Low risk (1)]]=1,"■","")</f>
        <v/>
      </c>
      <c r="U40" s="74" t="str">
        <f>IF(T_MEASURES[[#This Row],[Medium risk (2)]]=1,"■","")</f>
        <v/>
      </c>
      <c r="V40" s="71" t="str">
        <f>IF(T_MEASURES[[#This Row],[High risk (3)]]=1,"■","")</f>
        <v/>
      </c>
      <c r="W40" s="18" t="str">
        <f t="shared" si="1"/>
        <v>1. No Risk (Green)</v>
      </c>
      <c r="X40" s="18">
        <f>COUNT(T_MEASURES[[#This Row],[Buildings and public facilities]:[Coordination]])</f>
        <v>2</v>
      </c>
      <c r="Y40" s="18"/>
      <c r="Z40" s="18" t="str">
        <f>IF(T_MEASURES[[#This Row],[Buildings and public facilities]]=1,"Yes","No")</f>
        <v>No</v>
      </c>
      <c r="AA40" s="18">
        <v>1</v>
      </c>
      <c r="AB40" s="18" t="str">
        <f>IF(T_MEASURES[[#This Row],[Urban planning]]=1,"Yes","No")</f>
        <v>Yes</v>
      </c>
      <c r="AC40" s="18"/>
      <c r="AD40" s="18" t="str">
        <f>IF(T_MEASURES[[#This Row],[Culture and Sports]],"Yes","No")</f>
        <v>No</v>
      </c>
      <c r="AE40" s="18"/>
      <c r="AF40" s="18" t="str">
        <f>IF(T_MEASURES[[#This Row],[Tourism]],"Yes","No")</f>
        <v>No</v>
      </c>
      <c r="AG40" s="18"/>
      <c r="AH40" s="18" t="str">
        <f>IF(T_MEASURES[[#This Row],[Occupational risks]],"Yes","No")</f>
        <v>No</v>
      </c>
      <c r="AI40" s="18"/>
      <c r="AJ40" s="18" t="str">
        <f>IF(T_MEASURES[[#This Row],[Education]],"Yes","No")</f>
        <v>No</v>
      </c>
      <c r="AK40" s="18"/>
      <c r="AL40" s="18" t="str">
        <f>IF(T_MEASURES[[#This Row],[Social Services]],"Yes","No")</f>
        <v>No</v>
      </c>
      <c r="AM40" s="18"/>
      <c r="AN40" s="18" t="str">
        <f>IF(T_MEASURES[[#This Row],[Emergency Services and Police]],"Yes","No")</f>
        <v>No</v>
      </c>
      <c r="AO40" s="18">
        <v>1</v>
      </c>
      <c r="AP40" s="18" t="str">
        <f>IF(T_MEASURES[[#This Row],[Parks and gardens (Urban Green Infrastructure)]],"Yes","No")</f>
        <v>Yes</v>
      </c>
      <c r="AQ40" s="18"/>
      <c r="AR40" s="18" t="str">
        <f>IF(T_MEASURES[[#This Row],[Transport]],"Yes","No")</f>
        <v>No</v>
      </c>
      <c r="AS40" s="158"/>
      <c r="AT40" s="1" t="str">
        <f>IF(T_MEASURES[[#This Row],[Coordination]],"Yes","No")</f>
        <v>No</v>
      </c>
      <c r="AU40" s="2">
        <v>1</v>
      </c>
      <c r="AV40" s="1">
        <v>1</v>
      </c>
      <c r="AW40" s="1">
        <v>1</v>
      </c>
      <c r="AX40" s="1">
        <v>1</v>
      </c>
      <c r="AY40" s="3">
        <v>1</v>
      </c>
      <c r="AZ40" s="86">
        <f>SUMPRODUCT($AT$15:$AX$15,T_MEASURES[[#This Row],[&lt;5.000]:[&gt;100.000]])</f>
        <v>1</v>
      </c>
      <c r="BA40" s="1">
        <v>1</v>
      </c>
      <c r="BB40" s="1">
        <v>1</v>
      </c>
      <c r="BC40" s="1">
        <v>1</v>
      </c>
      <c r="BD40" s="1">
        <v>1</v>
      </c>
      <c r="BE40" s="1">
        <v>1</v>
      </c>
      <c r="BF40" s="1">
        <v>1</v>
      </c>
      <c r="BG40" s="1">
        <v>1</v>
      </c>
      <c r="BH40" s="86" cm="1">
        <f t="array" ref="BH40">SUMPRODUCT(--((T_MEASURES[[#This Row],[Health or social care centers]:[Schools / Educational centers]] + $AZ$15:$BF$15)&gt;0))</f>
        <v>7</v>
      </c>
      <c r="BI40" s="88">
        <v>2</v>
      </c>
      <c r="BJ40" s="88">
        <v>3</v>
      </c>
      <c r="BK40" s="88">
        <v>1</v>
      </c>
      <c r="BL40" s="88">
        <v>2</v>
      </c>
      <c r="BM40" s="88">
        <v>1</v>
      </c>
      <c r="BN40" s="88">
        <v>1</v>
      </c>
      <c r="BO40" s="88">
        <v>1</v>
      </c>
      <c r="BP40" s="88">
        <v>1</v>
      </c>
      <c r="BQ40" s="96" cm="1">
        <f t="array" ref="BQ40">T_MEASURES[[#This Row],[Apply size]]*(SUMPRODUCT(T_MEASURES[[#This Row],[C1_Urban Cooling]:[C8_Time]],TRANSPOSE('2.WEIGHTS'!$L$12:$L$19))+(ROW(C40)-ROW($C$18)+1)*0.0000000001)*100</f>
        <v>150.00000022999998</v>
      </c>
      <c r="BR40" s="21"/>
      <c r="BS40" s="38"/>
    </row>
    <row r="41" spans="1:71" ht="33.6" x14ac:dyDescent="0.3">
      <c r="A41" s="21"/>
      <c r="B41" s="38"/>
      <c r="C41" s="21"/>
      <c r="D41" s="86">
        <f>IF(T_MEASURES[[#This Row],[Weight Criterion]]&lt;=0,"",_xlfn.RANK.EQ(T_MEASURES[[#This Row],[Weight Criterion]],T_MEASURES[Weight Criterion]))</f>
        <v>99</v>
      </c>
      <c r="E41" s="152" t="s">
        <v>173</v>
      </c>
      <c r="F41" s="150" t="s">
        <v>55</v>
      </c>
      <c r="G41" s="150" t="s">
        <v>44</v>
      </c>
      <c r="H41" s="150" t="s">
        <v>145</v>
      </c>
      <c r="I41" s="150" t="s">
        <v>174</v>
      </c>
      <c r="J41" s="150"/>
      <c r="K41" s="153"/>
      <c r="L41" s="18">
        <v>1</v>
      </c>
      <c r="M41" s="18">
        <v>1</v>
      </c>
      <c r="N41" s="154" t="str">
        <f t="shared" si="0"/>
        <v>€€€</v>
      </c>
      <c r="O41" s="155">
        <v>1</v>
      </c>
      <c r="P41" s="155"/>
      <c r="Q41" s="19"/>
      <c r="R41" s="155"/>
      <c r="S41" s="72" t="str">
        <f>IF(T_MEASURES[[#This Row],[No risk (0)]]=1,"■","")</f>
        <v>■</v>
      </c>
      <c r="T41" s="73" t="str">
        <f>IF(T_MEASURES[[#This Row],[Low risk (1)]]=1,"■","")</f>
        <v/>
      </c>
      <c r="U41" s="74" t="str">
        <f>IF(T_MEASURES[[#This Row],[Medium risk (2)]]=1,"■","")</f>
        <v/>
      </c>
      <c r="V41" s="71" t="str">
        <f>IF(T_MEASURES[[#This Row],[High risk (3)]]=1,"■","")</f>
        <v/>
      </c>
      <c r="W41" s="18" t="str">
        <f t="shared" si="1"/>
        <v>1. No Risk (Green)</v>
      </c>
      <c r="X41" s="18">
        <f>COUNT(T_MEASURES[[#This Row],[Buildings and public facilities]:[Coordination]])</f>
        <v>2</v>
      </c>
      <c r="Y41" s="18"/>
      <c r="Z41" s="18" t="str">
        <f>IF(T_MEASURES[[#This Row],[Buildings and public facilities]]=1,"Yes","No")</f>
        <v>No</v>
      </c>
      <c r="AA41" s="18"/>
      <c r="AB41" s="18" t="str">
        <f>IF(T_MEASURES[[#This Row],[Urban planning]]=1,"Yes","No")</f>
        <v>No</v>
      </c>
      <c r="AC41" s="18"/>
      <c r="AD41" s="18" t="str">
        <f>IF(T_MEASURES[[#This Row],[Culture and Sports]],"Yes","No")</f>
        <v>No</v>
      </c>
      <c r="AE41" s="18"/>
      <c r="AF41" s="18" t="str">
        <f>IF(T_MEASURES[[#This Row],[Tourism]],"Yes","No")</f>
        <v>No</v>
      </c>
      <c r="AG41" s="18"/>
      <c r="AH41" s="18" t="str">
        <f>IF(T_MEASURES[[#This Row],[Occupational risks]],"Yes","No")</f>
        <v>No</v>
      </c>
      <c r="AI41" s="18">
        <v>1</v>
      </c>
      <c r="AJ41" s="18" t="str">
        <f>IF(T_MEASURES[[#This Row],[Education]],"Yes","No")</f>
        <v>Yes</v>
      </c>
      <c r="AK41" s="18"/>
      <c r="AL41" s="18" t="str">
        <f>IF(T_MEASURES[[#This Row],[Social Services]],"Yes","No")</f>
        <v>No</v>
      </c>
      <c r="AM41" s="18"/>
      <c r="AN41" s="18" t="str">
        <f>IF(T_MEASURES[[#This Row],[Emergency Services and Police]],"Yes","No")</f>
        <v>No</v>
      </c>
      <c r="AO41" s="18">
        <v>1</v>
      </c>
      <c r="AP41" s="18" t="str">
        <f>IF(T_MEASURES[[#This Row],[Parks and gardens (Urban Green Infrastructure)]],"Yes","No")</f>
        <v>Yes</v>
      </c>
      <c r="AQ41" s="18"/>
      <c r="AR41" s="18" t="str">
        <f>IF(T_MEASURES[[#This Row],[Transport]],"Yes","No")</f>
        <v>No</v>
      </c>
      <c r="AS41" s="158"/>
      <c r="AT41" s="1" t="str">
        <f>IF(T_MEASURES[[#This Row],[Coordination]],"Yes","No")</f>
        <v>No</v>
      </c>
      <c r="AU41" s="2">
        <v>1</v>
      </c>
      <c r="AV41" s="1">
        <v>1</v>
      </c>
      <c r="AW41" s="1">
        <v>1</v>
      </c>
      <c r="AX41" s="1">
        <v>1</v>
      </c>
      <c r="AY41" s="3">
        <v>1</v>
      </c>
      <c r="AZ41" s="86">
        <f>SUMPRODUCT($AT$15:$AX$15,T_MEASURES[[#This Row],[&lt;5.000]:[&gt;100.000]])</f>
        <v>1</v>
      </c>
      <c r="BA41" s="1">
        <v>1</v>
      </c>
      <c r="BB41" s="1">
        <v>1</v>
      </c>
      <c r="BC41" s="1">
        <v>1</v>
      </c>
      <c r="BD41" s="1">
        <v>1</v>
      </c>
      <c r="BE41" s="1">
        <v>1</v>
      </c>
      <c r="BF41" s="1">
        <v>1</v>
      </c>
      <c r="BG41" s="1"/>
      <c r="BH41" s="86" cm="1">
        <f t="array" ref="BH41">SUMPRODUCT(--((T_MEASURES[[#This Row],[Health or social care centers]:[Schools / Educational centers]] + $AZ$15:$BF$15)&gt;0))</f>
        <v>6</v>
      </c>
      <c r="BI41" s="1">
        <v>2</v>
      </c>
      <c r="BJ41" s="1">
        <v>3</v>
      </c>
      <c r="BK41" s="1">
        <v>3</v>
      </c>
      <c r="BL41" s="1">
        <v>2</v>
      </c>
      <c r="BM41" s="1">
        <v>1</v>
      </c>
      <c r="BN41" s="1">
        <v>1</v>
      </c>
      <c r="BO41" s="1">
        <v>1</v>
      </c>
      <c r="BP41" s="1">
        <v>1</v>
      </c>
      <c r="BQ41" s="96" cm="1">
        <f t="array" ref="BQ41">T_MEASURES[[#This Row],[Apply size]]*(SUMPRODUCT(T_MEASURES[[#This Row],[C1_Urban Cooling]:[C8_Time]],TRANSPOSE('2.WEIGHTS'!$L$12:$L$19))+(ROW(C41)-ROW($C$18)+1)*0.0000000001)*100</f>
        <v>175.00000023999999</v>
      </c>
      <c r="BR41" s="21"/>
      <c r="BS41" s="38"/>
    </row>
    <row r="42" spans="1:71" ht="33.6" x14ac:dyDescent="0.3">
      <c r="A42" s="21"/>
      <c r="B42" s="38"/>
      <c r="C42" s="21"/>
      <c r="D42" s="86">
        <f>IF(T_MEASURES[[#This Row],[Weight Criterion]]&lt;=0,"",_xlfn.RANK.EQ(T_MEASURES[[#This Row],[Weight Criterion]],T_MEASURES[Weight Criterion]))</f>
        <v>98</v>
      </c>
      <c r="E42" s="152" t="s">
        <v>175</v>
      </c>
      <c r="F42" s="150" t="s">
        <v>55</v>
      </c>
      <c r="G42" s="150" t="s">
        <v>41</v>
      </c>
      <c r="H42" s="150" t="s">
        <v>132</v>
      </c>
      <c r="I42" s="150" t="s">
        <v>176</v>
      </c>
      <c r="J42" s="150"/>
      <c r="K42" s="153"/>
      <c r="L42" s="18">
        <v>1</v>
      </c>
      <c r="M42" s="18">
        <v>1</v>
      </c>
      <c r="N42" s="154" t="str">
        <f t="shared" si="0"/>
        <v>€€€</v>
      </c>
      <c r="O42" s="155">
        <v>1</v>
      </c>
      <c r="P42" s="155">
        <v>1</v>
      </c>
      <c r="Q42" s="19"/>
      <c r="R42" s="155"/>
      <c r="S42" s="72" t="str">
        <f>IF(T_MEASURES[[#This Row],[No risk (0)]]=1,"■","")</f>
        <v>■</v>
      </c>
      <c r="T42" s="73" t="str">
        <f>IF(T_MEASURES[[#This Row],[Low risk (1)]]=1,"■","")</f>
        <v>■</v>
      </c>
      <c r="U42" s="74" t="str">
        <f>IF(T_MEASURES[[#This Row],[Medium risk (2)]]=1,"■","")</f>
        <v/>
      </c>
      <c r="V42" s="71" t="str">
        <f>IF(T_MEASURES[[#This Row],[High risk (3)]]=1,"■","")</f>
        <v/>
      </c>
      <c r="W42" s="18" t="str">
        <f t="shared" si="1"/>
        <v>2. Low (Yellow)</v>
      </c>
      <c r="X42" s="18">
        <f>COUNT(T_MEASURES[[#This Row],[Buildings and public facilities]:[Coordination]])</f>
        <v>1</v>
      </c>
      <c r="Y42" s="18">
        <v>1</v>
      </c>
      <c r="Z42" s="18" t="str">
        <f>IF(T_MEASURES[[#This Row],[Buildings and public facilities]]=1,"Yes","No")</f>
        <v>Yes</v>
      </c>
      <c r="AA42" s="18"/>
      <c r="AB42" s="18" t="str">
        <f>IF(T_MEASURES[[#This Row],[Urban planning]]=1,"Yes","No")</f>
        <v>No</v>
      </c>
      <c r="AC42" s="18"/>
      <c r="AD42" s="18" t="str">
        <f>IF(T_MEASURES[[#This Row],[Culture and Sports]],"Yes","No")</f>
        <v>No</v>
      </c>
      <c r="AE42" s="18"/>
      <c r="AF42" s="18" t="str">
        <f>IF(T_MEASURES[[#This Row],[Tourism]],"Yes","No")</f>
        <v>No</v>
      </c>
      <c r="AG42" s="18"/>
      <c r="AH42" s="18" t="str">
        <f>IF(T_MEASURES[[#This Row],[Occupational risks]],"Yes","No")</f>
        <v>No</v>
      </c>
      <c r="AI42" s="18"/>
      <c r="AJ42" s="18" t="str">
        <f>IF(T_MEASURES[[#This Row],[Education]],"Yes","No")</f>
        <v>No</v>
      </c>
      <c r="AK42" s="18"/>
      <c r="AL42" s="18" t="str">
        <f>IF(T_MEASURES[[#This Row],[Social Services]],"Yes","No")</f>
        <v>No</v>
      </c>
      <c r="AM42" s="18"/>
      <c r="AN42" s="18" t="str">
        <f>IF(T_MEASURES[[#This Row],[Emergency Services and Police]],"Yes","No")</f>
        <v>No</v>
      </c>
      <c r="AO42" s="18"/>
      <c r="AP42" s="18" t="str">
        <f>IF(T_MEASURES[[#This Row],[Parks and gardens (Urban Green Infrastructure)]],"Yes","No")</f>
        <v>No</v>
      </c>
      <c r="AQ42" s="18"/>
      <c r="AR42" s="18" t="str">
        <f>IF(T_MEASURES[[#This Row],[Transport]],"Yes","No")</f>
        <v>No</v>
      </c>
      <c r="AS42" s="158"/>
      <c r="AT42" s="1" t="str">
        <f>IF(T_MEASURES[[#This Row],[Coordination]],"Yes","No")</f>
        <v>No</v>
      </c>
      <c r="AU42" s="2">
        <v>1</v>
      </c>
      <c r="AV42" s="1">
        <v>1</v>
      </c>
      <c r="AW42" s="1">
        <v>1</v>
      </c>
      <c r="AX42" s="1">
        <v>1</v>
      </c>
      <c r="AY42" s="3">
        <v>1</v>
      </c>
      <c r="AZ42" s="86">
        <f>SUMPRODUCT($AT$15:$AX$15,T_MEASURES[[#This Row],[&lt;5.000]:[&gt;100.000]])</f>
        <v>1</v>
      </c>
      <c r="BA42" s="1">
        <v>1</v>
      </c>
      <c r="BB42" s="1">
        <v>1</v>
      </c>
      <c r="BC42" s="1">
        <v>1</v>
      </c>
      <c r="BD42" s="1">
        <v>1</v>
      </c>
      <c r="BE42" s="1">
        <v>1</v>
      </c>
      <c r="BF42" s="1">
        <v>1</v>
      </c>
      <c r="BG42" s="1">
        <v>1</v>
      </c>
      <c r="BH42" s="86" cm="1">
        <f t="array" ref="BH42">SUMPRODUCT(--((T_MEASURES[[#This Row],[Health or social care centers]:[Schools / Educational centers]] + $AZ$15:$BF$15)&gt;0))</f>
        <v>7</v>
      </c>
      <c r="BI42" s="88">
        <v>2</v>
      </c>
      <c r="BJ42" s="88">
        <v>0</v>
      </c>
      <c r="BK42" s="88">
        <v>1</v>
      </c>
      <c r="BL42" s="88">
        <v>2</v>
      </c>
      <c r="BM42" s="88">
        <v>2</v>
      </c>
      <c r="BN42" s="88">
        <v>1</v>
      </c>
      <c r="BO42" s="88">
        <v>3</v>
      </c>
      <c r="BP42" s="88">
        <v>3</v>
      </c>
      <c r="BQ42" s="96" cm="1">
        <f t="array" ref="BQ42">T_MEASURES[[#This Row],[Apply size]]*(SUMPRODUCT(T_MEASURES[[#This Row],[C1_Urban Cooling]:[C8_Time]],TRANSPOSE('2.WEIGHTS'!$L$12:$L$19))+(ROW(C42)-ROW($C$18)+1)*0.0000000001)*100</f>
        <v>175.00000025</v>
      </c>
      <c r="BR42" s="21"/>
      <c r="BS42" s="38"/>
    </row>
    <row r="43" spans="1:71" ht="33.6" x14ac:dyDescent="0.3">
      <c r="A43" s="21"/>
      <c r="B43" s="38"/>
      <c r="C43" s="21"/>
      <c r="D43" s="86">
        <f>IF(T_MEASURES[[#This Row],[Weight Criterion]]&lt;=0,"",_xlfn.RANK.EQ(T_MEASURES[[#This Row],[Weight Criterion]],T_MEASURES[Weight Criterion]))</f>
        <v>139</v>
      </c>
      <c r="E43" s="152" t="s">
        <v>177</v>
      </c>
      <c r="F43" s="150" t="s">
        <v>55</v>
      </c>
      <c r="G43" s="150" t="s">
        <v>41</v>
      </c>
      <c r="H43" s="150" t="s">
        <v>132</v>
      </c>
      <c r="I43" s="150" t="s">
        <v>178</v>
      </c>
      <c r="J43" s="150"/>
      <c r="K43" s="153"/>
      <c r="L43" s="18">
        <v>1</v>
      </c>
      <c r="M43" s="18">
        <v>1</v>
      </c>
      <c r="N43" s="154" t="str">
        <f t="shared" si="0"/>
        <v>€€€</v>
      </c>
      <c r="O43" s="155">
        <v>1</v>
      </c>
      <c r="P43" s="155"/>
      <c r="Q43" s="19"/>
      <c r="R43" s="155"/>
      <c r="S43" s="72" t="str">
        <f>IF(T_MEASURES[[#This Row],[No risk (0)]]=1,"■","")</f>
        <v>■</v>
      </c>
      <c r="T43" s="73" t="str">
        <f>IF(T_MEASURES[[#This Row],[Low risk (1)]]=1,"■","")</f>
        <v/>
      </c>
      <c r="U43" s="74" t="str">
        <f>IF(T_MEASURES[[#This Row],[Medium risk (2)]]=1,"■","")</f>
        <v/>
      </c>
      <c r="V43" s="71" t="str">
        <f>IF(T_MEASURES[[#This Row],[High risk (3)]]=1,"■","")</f>
        <v/>
      </c>
      <c r="W43" s="18" t="str">
        <f t="shared" si="1"/>
        <v>1. No Risk (Green)</v>
      </c>
      <c r="X43" s="18">
        <f>COUNT(T_MEASURES[[#This Row],[Buildings and public facilities]:[Coordination]])</f>
        <v>1</v>
      </c>
      <c r="Y43" s="18">
        <v>1</v>
      </c>
      <c r="Z43" s="18" t="str">
        <f>IF(T_MEASURES[[#This Row],[Buildings and public facilities]]=1,"Yes","No")</f>
        <v>Yes</v>
      </c>
      <c r="AA43" s="18"/>
      <c r="AB43" s="18" t="str">
        <f>IF(T_MEASURES[[#This Row],[Urban planning]]=1,"Yes","No")</f>
        <v>No</v>
      </c>
      <c r="AC43" s="18"/>
      <c r="AD43" s="18" t="str">
        <f>IF(T_MEASURES[[#This Row],[Culture and Sports]],"Yes","No")</f>
        <v>No</v>
      </c>
      <c r="AE43" s="18"/>
      <c r="AF43" s="18" t="str">
        <f>IF(T_MEASURES[[#This Row],[Tourism]],"Yes","No")</f>
        <v>No</v>
      </c>
      <c r="AG43" s="18"/>
      <c r="AH43" s="18" t="str">
        <f>IF(T_MEASURES[[#This Row],[Occupational risks]],"Yes","No")</f>
        <v>No</v>
      </c>
      <c r="AI43" s="18"/>
      <c r="AJ43" s="18" t="str">
        <f>IF(T_MEASURES[[#This Row],[Education]],"Yes","No")</f>
        <v>No</v>
      </c>
      <c r="AK43" s="18"/>
      <c r="AL43" s="18" t="str">
        <f>IF(T_MEASURES[[#This Row],[Social Services]],"Yes","No")</f>
        <v>No</v>
      </c>
      <c r="AM43" s="18"/>
      <c r="AN43" s="18" t="str">
        <f>IF(T_MEASURES[[#This Row],[Emergency Services and Police]],"Yes","No")</f>
        <v>No</v>
      </c>
      <c r="AO43" s="18"/>
      <c r="AP43" s="18" t="str">
        <f>IF(T_MEASURES[[#This Row],[Parks and gardens (Urban Green Infrastructure)]],"Yes","No")</f>
        <v>No</v>
      </c>
      <c r="AQ43" s="18"/>
      <c r="AR43" s="18" t="str">
        <f>IF(T_MEASURES[[#This Row],[Transport]],"Yes","No")</f>
        <v>No</v>
      </c>
      <c r="AS43" s="158"/>
      <c r="AT43" s="1" t="str">
        <f>IF(T_MEASURES[[#This Row],[Coordination]],"Yes","No")</f>
        <v>No</v>
      </c>
      <c r="AU43" s="2">
        <v>1</v>
      </c>
      <c r="AV43" s="1">
        <v>1</v>
      </c>
      <c r="AW43" s="1">
        <v>1</v>
      </c>
      <c r="AX43" s="1">
        <v>1</v>
      </c>
      <c r="AY43" s="3">
        <v>1</v>
      </c>
      <c r="AZ43" s="86">
        <f>SUMPRODUCT($AT$15:$AX$15,T_MEASURES[[#This Row],[&lt;5.000]:[&gt;100.000]])</f>
        <v>1</v>
      </c>
      <c r="BA43" s="1">
        <v>1</v>
      </c>
      <c r="BB43" s="1">
        <v>1</v>
      </c>
      <c r="BC43" s="1">
        <v>1</v>
      </c>
      <c r="BD43" s="1">
        <v>1</v>
      </c>
      <c r="BE43" s="1">
        <v>1</v>
      </c>
      <c r="BF43" s="1">
        <v>1</v>
      </c>
      <c r="BG43" s="1">
        <v>1</v>
      </c>
      <c r="BH43" s="86" cm="1">
        <f t="array" ref="BH43">SUMPRODUCT(--((T_MEASURES[[#This Row],[Health or social care centers]:[Schools / Educational centers]] + $AZ$15:$BF$15)&gt;0))</f>
        <v>7</v>
      </c>
      <c r="BI43" s="1">
        <v>2</v>
      </c>
      <c r="BJ43" s="1">
        <v>0</v>
      </c>
      <c r="BK43" s="1">
        <v>0</v>
      </c>
      <c r="BL43" s="1">
        <v>1</v>
      </c>
      <c r="BM43" s="1">
        <v>3</v>
      </c>
      <c r="BN43" s="1">
        <v>1</v>
      </c>
      <c r="BO43" s="1">
        <v>1</v>
      </c>
      <c r="BP43" s="1">
        <v>1</v>
      </c>
      <c r="BQ43" s="96" cm="1">
        <f t="array" ref="BQ43">T_MEASURES[[#This Row],[Apply size]]*(SUMPRODUCT(T_MEASURES[[#This Row],[C1_Urban Cooling]:[C8_Time]],TRANSPOSE('2.WEIGHTS'!$L$12:$L$19))+(ROW(C43)-ROW($C$18)+1)*0.0000000001)*100</f>
        <v>112.50000025999999</v>
      </c>
      <c r="BR43" s="21"/>
      <c r="BS43" s="38"/>
    </row>
    <row r="44" spans="1:71" ht="33.6" x14ac:dyDescent="0.3">
      <c r="A44" s="21"/>
      <c r="B44" s="38"/>
      <c r="C44" s="21"/>
      <c r="D44" s="86">
        <f>IF(T_MEASURES[[#This Row],[Weight Criterion]]&lt;=0,"",_xlfn.RANK.EQ(T_MEASURES[[#This Row],[Weight Criterion]],T_MEASURES[Weight Criterion]))</f>
        <v>97</v>
      </c>
      <c r="E44" s="152" t="s">
        <v>179</v>
      </c>
      <c r="F44" s="150" t="s">
        <v>55</v>
      </c>
      <c r="G44" s="150" t="s">
        <v>44</v>
      </c>
      <c r="H44" s="150" t="s">
        <v>145</v>
      </c>
      <c r="I44" s="150" t="s">
        <v>180</v>
      </c>
      <c r="J44" s="150"/>
      <c r="K44" s="153">
        <v>1</v>
      </c>
      <c r="L44" s="18"/>
      <c r="M44" s="18"/>
      <c r="N44" s="154" t="str">
        <f t="shared" si="0"/>
        <v>€</v>
      </c>
      <c r="O44" s="155">
        <v>1</v>
      </c>
      <c r="P44" s="155"/>
      <c r="Q44" s="19"/>
      <c r="R44" s="155"/>
      <c r="S44" s="72" t="str">
        <f>IF(T_MEASURES[[#This Row],[No risk (0)]]=1,"■","")</f>
        <v>■</v>
      </c>
      <c r="T44" s="73" t="str">
        <f>IF(T_MEASURES[[#This Row],[Low risk (1)]]=1,"■","")</f>
        <v/>
      </c>
      <c r="U44" s="74" t="str">
        <f>IF(T_MEASURES[[#This Row],[Medium risk (2)]]=1,"■","")</f>
        <v/>
      </c>
      <c r="V44" s="71" t="str">
        <f>IF(T_MEASURES[[#This Row],[High risk (3)]]=1,"■","")</f>
        <v/>
      </c>
      <c r="W44" s="18" t="str">
        <f t="shared" si="1"/>
        <v>1. No Risk (Green)</v>
      </c>
      <c r="X44" s="18">
        <f>COUNT(T_MEASURES[[#This Row],[Buildings and public facilities]:[Coordination]])</f>
        <v>1</v>
      </c>
      <c r="Y44" s="18"/>
      <c r="Z44" s="18" t="str">
        <f>IF(T_MEASURES[[#This Row],[Buildings and public facilities]]=1,"Yes","No")</f>
        <v>No</v>
      </c>
      <c r="AA44" s="18"/>
      <c r="AB44" s="18" t="str">
        <f>IF(T_MEASURES[[#This Row],[Urban planning]]=1,"Yes","No")</f>
        <v>No</v>
      </c>
      <c r="AC44" s="18"/>
      <c r="AD44" s="18" t="str">
        <f>IF(T_MEASURES[[#This Row],[Culture and Sports]],"Yes","No")</f>
        <v>No</v>
      </c>
      <c r="AE44" s="18"/>
      <c r="AF44" s="18" t="str">
        <f>IF(T_MEASURES[[#This Row],[Tourism]],"Yes","No")</f>
        <v>No</v>
      </c>
      <c r="AG44" s="18">
        <v>1</v>
      </c>
      <c r="AH44" s="18" t="str">
        <f>IF(T_MEASURES[[#This Row],[Occupational risks]],"Yes","No")</f>
        <v>Yes</v>
      </c>
      <c r="AI44" s="18"/>
      <c r="AJ44" s="18" t="str">
        <f>IF(T_MEASURES[[#This Row],[Education]],"Yes","No")</f>
        <v>No</v>
      </c>
      <c r="AK44" s="18"/>
      <c r="AL44" s="18" t="str">
        <f>IF(T_MEASURES[[#This Row],[Social Services]],"Yes","No")</f>
        <v>No</v>
      </c>
      <c r="AM44" s="18"/>
      <c r="AN44" s="18" t="str">
        <f>IF(T_MEASURES[[#This Row],[Emergency Services and Police]],"Yes","No")</f>
        <v>No</v>
      </c>
      <c r="AO44" s="18"/>
      <c r="AP44" s="18" t="str">
        <f>IF(T_MEASURES[[#This Row],[Parks and gardens (Urban Green Infrastructure)]],"Yes","No")</f>
        <v>No</v>
      </c>
      <c r="AQ44" s="18"/>
      <c r="AR44" s="18" t="str">
        <f>IF(T_MEASURES[[#This Row],[Transport]],"Yes","No")</f>
        <v>No</v>
      </c>
      <c r="AS44" s="158"/>
      <c r="AT44" s="1" t="str">
        <f>IF(T_MEASURES[[#This Row],[Coordination]],"Yes","No")</f>
        <v>No</v>
      </c>
      <c r="AU44" s="2">
        <v>1</v>
      </c>
      <c r="AV44" s="1">
        <v>1</v>
      </c>
      <c r="AW44" s="1">
        <v>1</v>
      </c>
      <c r="AX44" s="1">
        <v>1</v>
      </c>
      <c r="AY44" s="3">
        <v>1</v>
      </c>
      <c r="AZ44" s="86">
        <f>SUMPRODUCT($AT$15:$AX$15,T_MEASURES[[#This Row],[&lt;5.000]:[&gt;100.000]])</f>
        <v>1</v>
      </c>
      <c r="BA44" s="1">
        <v>1</v>
      </c>
      <c r="BB44" s="1">
        <v>1</v>
      </c>
      <c r="BC44" s="1">
        <v>1</v>
      </c>
      <c r="BD44" s="1">
        <v>1</v>
      </c>
      <c r="BE44" s="1">
        <v>1</v>
      </c>
      <c r="BF44" s="1">
        <v>1</v>
      </c>
      <c r="BG44" s="1">
        <v>1</v>
      </c>
      <c r="BH44" s="86" cm="1">
        <f t="array" ref="BH44">SUMPRODUCT(--((T_MEASURES[[#This Row],[Health or social care centers]:[Schools / Educational centers]] + $AZ$15:$BF$15)&gt;0))</f>
        <v>7</v>
      </c>
      <c r="BI44" s="88">
        <v>0</v>
      </c>
      <c r="BJ44" s="88">
        <v>0</v>
      </c>
      <c r="BK44" s="88">
        <v>2</v>
      </c>
      <c r="BL44" s="88">
        <v>1</v>
      </c>
      <c r="BM44" s="88">
        <v>3</v>
      </c>
      <c r="BN44" s="88">
        <v>2</v>
      </c>
      <c r="BO44" s="88">
        <v>3</v>
      </c>
      <c r="BP44" s="88">
        <v>3</v>
      </c>
      <c r="BQ44" s="96" cm="1">
        <f t="array" ref="BQ44">T_MEASURES[[#This Row],[Apply size]]*(SUMPRODUCT(T_MEASURES[[#This Row],[C1_Urban Cooling]:[C8_Time]],TRANSPOSE('2.WEIGHTS'!$L$12:$L$19))+(ROW(C44)-ROW($C$18)+1)*0.0000000001)*100</f>
        <v>175.00000026999999</v>
      </c>
      <c r="BR44" s="21"/>
      <c r="BS44" s="38"/>
    </row>
    <row r="45" spans="1:71" ht="33.6" x14ac:dyDescent="0.3">
      <c r="A45" s="21"/>
      <c r="B45" s="38"/>
      <c r="C45" s="21"/>
      <c r="D45" s="86">
        <f>IF(T_MEASURES[[#This Row],[Weight Criterion]]&lt;=0,"",_xlfn.RANK.EQ(T_MEASURES[[#This Row],[Weight Criterion]],T_MEASURES[Weight Criterion]))</f>
        <v>42</v>
      </c>
      <c r="E45" s="152" t="s">
        <v>181</v>
      </c>
      <c r="F45" s="150" t="s">
        <v>55</v>
      </c>
      <c r="G45" s="150" t="s">
        <v>42</v>
      </c>
      <c r="H45" s="150" t="s">
        <v>135</v>
      </c>
      <c r="I45" s="151" t="s">
        <v>182</v>
      </c>
      <c r="J45" s="151"/>
      <c r="K45" s="153">
        <v>1</v>
      </c>
      <c r="L45" s="18"/>
      <c r="M45" s="18"/>
      <c r="N45" s="154" t="str">
        <f t="shared" si="0"/>
        <v>€</v>
      </c>
      <c r="O45" s="155">
        <v>1</v>
      </c>
      <c r="P45" s="155"/>
      <c r="Q45" s="19"/>
      <c r="R45" s="155"/>
      <c r="S45" s="72" t="str">
        <f>IF(T_MEASURES[[#This Row],[No risk (0)]]=1,"■","")</f>
        <v>■</v>
      </c>
      <c r="T45" s="73" t="str">
        <f>IF(T_MEASURES[[#This Row],[Low risk (1)]]=1,"■","")</f>
        <v/>
      </c>
      <c r="U45" s="74" t="str">
        <f>IF(T_MEASURES[[#This Row],[Medium risk (2)]]=1,"■","")</f>
        <v/>
      </c>
      <c r="V45" s="71" t="str">
        <f>IF(T_MEASURES[[#This Row],[High risk (3)]]=1,"■","")</f>
        <v/>
      </c>
      <c r="W45" s="18" t="str">
        <f t="shared" si="1"/>
        <v>1. No Risk (Green)</v>
      </c>
      <c r="X45" s="18">
        <f>COUNT(T_MEASURES[[#This Row],[Buildings and public facilities]:[Coordination]])</f>
        <v>1</v>
      </c>
      <c r="Y45" s="18"/>
      <c r="Z45" s="18" t="str">
        <f>IF(T_MEASURES[[#This Row],[Buildings and public facilities]]=1,"Yes","No")</f>
        <v>No</v>
      </c>
      <c r="AA45" s="18"/>
      <c r="AB45" s="18" t="str">
        <f>IF(T_MEASURES[[#This Row],[Urban planning]]=1,"Yes","No")</f>
        <v>No</v>
      </c>
      <c r="AC45" s="18"/>
      <c r="AD45" s="18" t="str">
        <f>IF(T_MEASURES[[#This Row],[Culture and Sports]],"Yes","No")</f>
        <v>No</v>
      </c>
      <c r="AE45" s="18"/>
      <c r="AF45" s="18" t="str">
        <f>IF(T_MEASURES[[#This Row],[Tourism]],"Yes","No")</f>
        <v>No</v>
      </c>
      <c r="AG45" s="18"/>
      <c r="AH45" s="18" t="str">
        <f>IF(T_MEASURES[[#This Row],[Occupational risks]],"Yes","No")</f>
        <v>No</v>
      </c>
      <c r="AI45" s="18">
        <v>1</v>
      </c>
      <c r="AJ45" s="18" t="str">
        <f>IF(T_MEASURES[[#This Row],[Education]],"Yes","No")</f>
        <v>Yes</v>
      </c>
      <c r="AK45" s="18"/>
      <c r="AL45" s="18" t="str">
        <f>IF(T_MEASURES[[#This Row],[Social Services]],"Yes","No")</f>
        <v>No</v>
      </c>
      <c r="AM45" s="18"/>
      <c r="AN45" s="18" t="str">
        <f>IF(T_MEASURES[[#This Row],[Emergency Services and Police]],"Yes","No")</f>
        <v>No</v>
      </c>
      <c r="AO45" s="18"/>
      <c r="AP45" s="18" t="str">
        <f>IF(T_MEASURES[[#This Row],[Parks and gardens (Urban Green Infrastructure)]],"Yes","No")</f>
        <v>No</v>
      </c>
      <c r="AQ45" s="18"/>
      <c r="AR45" s="18" t="str">
        <f>IF(T_MEASURES[[#This Row],[Transport]],"Yes","No")</f>
        <v>No</v>
      </c>
      <c r="AS45" s="158"/>
      <c r="AT45" s="1" t="str">
        <f>IF(T_MEASURES[[#This Row],[Coordination]],"Yes","No")</f>
        <v>No</v>
      </c>
      <c r="AU45" s="2">
        <v>1</v>
      </c>
      <c r="AV45" s="1">
        <v>1</v>
      </c>
      <c r="AW45" s="1">
        <v>1</v>
      </c>
      <c r="AX45" s="1">
        <v>1</v>
      </c>
      <c r="AY45" s="3">
        <v>1</v>
      </c>
      <c r="AZ45" s="86">
        <f>SUMPRODUCT($AT$15:$AX$15,T_MEASURES[[#This Row],[&lt;5.000]:[&gt;100.000]])</f>
        <v>1</v>
      </c>
      <c r="BA45" s="1">
        <v>1</v>
      </c>
      <c r="BB45" s="1">
        <v>1</v>
      </c>
      <c r="BC45" s="1">
        <v>1</v>
      </c>
      <c r="BD45" s="1">
        <v>1</v>
      </c>
      <c r="BE45" s="1">
        <v>1</v>
      </c>
      <c r="BF45" s="1">
        <v>1</v>
      </c>
      <c r="BG45" s="1">
        <v>1</v>
      </c>
      <c r="BH45" s="86" cm="1">
        <f t="array" ref="BH45">SUMPRODUCT(--((T_MEASURES[[#This Row],[Health or social care centers]:[Schools / Educational centers]] + $AZ$15:$BF$15)&gt;0))</f>
        <v>7</v>
      </c>
      <c r="BI45" s="1">
        <v>0</v>
      </c>
      <c r="BJ45" s="1">
        <v>0</v>
      </c>
      <c r="BK45" s="1">
        <v>3</v>
      </c>
      <c r="BL45" s="1">
        <v>2</v>
      </c>
      <c r="BM45" s="1">
        <v>3</v>
      </c>
      <c r="BN45" s="1">
        <v>2</v>
      </c>
      <c r="BO45" s="1">
        <v>3</v>
      </c>
      <c r="BP45" s="1">
        <v>3</v>
      </c>
      <c r="BQ45" s="96" cm="1">
        <f t="array" ref="BQ45">T_MEASURES[[#This Row],[Apply size]]*(SUMPRODUCT(T_MEASURES[[#This Row],[C1_Urban Cooling]:[C8_Time]],TRANSPOSE('2.WEIGHTS'!$L$12:$L$19))+(ROW(C45)-ROW($C$18)+1)*0.0000000001)*100</f>
        <v>200.00000027999997</v>
      </c>
      <c r="BR45" s="21"/>
      <c r="BS45" s="38"/>
    </row>
    <row r="46" spans="1:71" ht="33.6" x14ac:dyDescent="0.3">
      <c r="A46" s="21"/>
      <c r="B46" s="38"/>
      <c r="C46" s="21"/>
      <c r="D46" s="86">
        <f>IF(T_MEASURES[[#This Row],[Weight Criterion]]&lt;=0,"",_xlfn.RANK.EQ(T_MEASURES[[#This Row],[Weight Criterion]],T_MEASURES[Weight Criterion]))</f>
        <v>41</v>
      </c>
      <c r="E46" s="152" t="s">
        <v>183</v>
      </c>
      <c r="F46" s="150" t="s">
        <v>55</v>
      </c>
      <c r="G46" s="150" t="s">
        <v>42</v>
      </c>
      <c r="H46" s="150" t="s">
        <v>135</v>
      </c>
      <c r="I46" s="150" t="s">
        <v>184</v>
      </c>
      <c r="J46" s="150"/>
      <c r="K46" s="153">
        <v>1</v>
      </c>
      <c r="L46" s="18"/>
      <c r="M46" s="18"/>
      <c r="N46" s="154" t="str">
        <f t="shared" si="0"/>
        <v>€</v>
      </c>
      <c r="O46" s="155">
        <v>1</v>
      </c>
      <c r="P46" s="155"/>
      <c r="Q46" s="19"/>
      <c r="R46" s="155"/>
      <c r="S46" s="72" t="str">
        <f>IF(T_MEASURES[[#This Row],[No risk (0)]]=1,"■","")</f>
        <v>■</v>
      </c>
      <c r="T46" s="73" t="str">
        <f>IF(T_MEASURES[[#This Row],[Low risk (1)]]=1,"■","")</f>
        <v/>
      </c>
      <c r="U46" s="74" t="str">
        <f>IF(T_MEASURES[[#This Row],[Medium risk (2)]]=1,"■","")</f>
        <v/>
      </c>
      <c r="V46" s="71" t="str">
        <f>IF(T_MEASURES[[#This Row],[High risk (3)]]=1,"■","")</f>
        <v/>
      </c>
      <c r="W46" s="18" t="str">
        <f t="shared" si="1"/>
        <v>1. No Risk (Green)</v>
      </c>
      <c r="X46" s="18">
        <f>COUNT(T_MEASURES[[#This Row],[Buildings and public facilities]:[Coordination]])</f>
        <v>1</v>
      </c>
      <c r="Y46" s="18"/>
      <c r="Z46" s="18" t="str">
        <f>IF(T_MEASURES[[#This Row],[Buildings and public facilities]]=1,"Yes","No")</f>
        <v>No</v>
      </c>
      <c r="AA46" s="18"/>
      <c r="AB46" s="18" t="str">
        <f>IF(T_MEASURES[[#This Row],[Urban planning]]=1,"Yes","No")</f>
        <v>No</v>
      </c>
      <c r="AC46" s="18"/>
      <c r="AD46" s="18" t="str">
        <f>IF(T_MEASURES[[#This Row],[Culture and Sports]],"Yes","No")</f>
        <v>No</v>
      </c>
      <c r="AE46" s="18"/>
      <c r="AF46" s="18" t="str">
        <f>IF(T_MEASURES[[#This Row],[Tourism]],"Yes","No")</f>
        <v>No</v>
      </c>
      <c r="AG46" s="18"/>
      <c r="AH46" s="18" t="str">
        <f>IF(T_MEASURES[[#This Row],[Occupational risks]],"Yes","No")</f>
        <v>No</v>
      </c>
      <c r="AI46" s="18">
        <v>1</v>
      </c>
      <c r="AJ46" s="18" t="str">
        <f>IF(T_MEASURES[[#This Row],[Education]],"Yes","No")</f>
        <v>Yes</v>
      </c>
      <c r="AK46" s="18"/>
      <c r="AL46" s="18" t="str">
        <f>IF(T_MEASURES[[#This Row],[Social Services]],"Yes","No")</f>
        <v>No</v>
      </c>
      <c r="AM46" s="18"/>
      <c r="AN46" s="18" t="str">
        <f>IF(T_MEASURES[[#This Row],[Emergency Services and Police]],"Yes","No")</f>
        <v>No</v>
      </c>
      <c r="AO46" s="18"/>
      <c r="AP46" s="18" t="str">
        <f>IF(T_MEASURES[[#This Row],[Parks and gardens (Urban Green Infrastructure)]],"Yes","No")</f>
        <v>No</v>
      </c>
      <c r="AQ46" s="18"/>
      <c r="AR46" s="18" t="str">
        <f>IF(T_MEASURES[[#This Row],[Transport]],"Yes","No")</f>
        <v>No</v>
      </c>
      <c r="AS46" s="158"/>
      <c r="AT46" s="1" t="str">
        <f>IF(T_MEASURES[[#This Row],[Coordination]],"Yes","No")</f>
        <v>No</v>
      </c>
      <c r="AU46" s="2">
        <v>1</v>
      </c>
      <c r="AV46" s="1">
        <v>1</v>
      </c>
      <c r="AW46" s="1">
        <v>1</v>
      </c>
      <c r="AX46" s="1">
        <v>1</v>
      </c>
      <c r="AY46" s="3">
        <v>1</v>
      </c>
      <c r="AZ46" s="86">
        <f>SUMPRODUCT($AT$15:$AX$15,T_MEASURES[[#This Row],[&lt;5.000]:[&gt;100.000]])</f>
        <v>1</v>
      </c>
      <c r="BA46" s="1">
        <v>1</v>
      </c>
      <c r="BB46" s="1">
        <v>1</v>
      </c>
      <c r="BC46" s="1">
        <v>1</v>
      </c>
      <c r="BD46" s="1">
        <v>1</v>
      </c>
      <c r="BE46" s="1">
        <v>1</v>
      </c>
      <c r="BF46" s="1">
        <v>1</v>
      </c>
      <c r="BG46" s="1"/>
      <c r="BH46" s="86" cm="1">
        <f t="array" ref="BH46">SUMPRODUCT(--((T_MEASURES[[#This Row],[Health or social care centers]:[Schools / Educational centers]] + $AZ$15:$BF$15)&gt;0))</f>
        <v>6</v>
      </c>
      <c r="BI46" s="88">
        <v>0</v>
      </c>
      <c r="BJ46" s="88">
        <v>0</v>
      </c>
      <c r="BK46" s="88">
        <v>3</v>
      </c>
      <c r="BL46" s="88">
        <v>2</v>
      </c>
      <c r="BM46" s="88">
        <v>3</v>
      </c>
      <c r="BN46" s="88">
        <v>2</v>
      </c>
      <c r="BO46" s="88">
        <v>3</v>
      </c>
      <c r="BP46" s="88">
        <v>3</v>
      </c>
      <c r="BQ46" s="96" cm="1">
        <f t="array" ref="BQ46">T_MEASURES[[#This Row],[Apply size]]*(SUMPRODUCT(T_MEASURES[[#This Row],[C1_Urban Cooling]:[C8_Time]],TRANSPOSE('2.WEIGHTS'!$L$12:$L$19))+(ROW(C46)-ROW($C$18)+1)*0.0000000001)*100</f>
        <v>200.00000028999997</v>
      </c>
      <c r="BR46" s="21"/>
      <c r="BS46" s="38"/>
    </row>
    <row r="47" spans="1:71" ht="33.6" x14ac:dyDescent="0.3">
      <c r="A47" s="21"/>
      <c r="B47" s="38"/>
      <c r="C47" s="21"/>
      <c r="D47" s="86">
        <f>IF(T_MEASURES[[#This Row],[Weight Criterion]]&lt;=0,"",_xlfn.RANK.EQ(T_MEASURES[[#This Row],[Weight Criterion]],T_MEASURES[Weight Criterion]))</f>
        <v>133</v>
      </c>
      <c r="E47" s="152" t="s">
        <v>185</v>
      </c>
      <c r="F47" s="150" t="s">
        <v>55</v>
      </c>
      <c r="G47" s="150" t="s">
        <v>44</v>
      </c>
      <c r="H47" s="150" t="s">
        <v>145</v>
      </c>
      <c r="I47" s="150" t="s">
        <v>186</v>
      </c>
      <c r="J47" s="150"/>
      <c r="K47" s="153">
        <v>1</v>
      </c>
      <c r="L47" s="18">
        <v>1</v>
      </c>
      <c r="M47" s="18"/>
      <c r="N47" s="154" t="str">
        <f t="shared" si="0"/>
        <v>€€</v>
      </c>
      <c r="O47" s="155">
        <v>1</v>
      </c>
      <c r="P47" s="155"/>
      <c r="Q47" s="19"/>
      <c r="R47" s="155"/>
      <c r="S47" s="72" t="str">
        <f>IF(T_MEASURES[[#This Row],[No risk (0)]]=1,"■","")</f>
        <v>■</v>
      </c>
      <c r="T47" s="73" t="str">
        <f>IF(T_MEASURES[[#This Row],[Low risk (1)]]=1,"■","")</f>
        <v/>
      </c>
      <c r="U47" s="74" t="str">
        <f>IF(T_MEASURES[[#This Row],[Medium risk (2)]]=1,"■","")</f>
        <v/>
      </c>
      <c r="V47" s="71" t="str">
        <f>IF(T_MEASURES[[#This Row],[High risk (3)]]=1,"■","")</f>
        <v/>
      </c>
      <c r="W47" s="18" t="str">
        <f t="shared" si="1"/>
        <v>1. No Risk (Green)</v>
      </c>
      <c r="X47" s="18">
        <f>COUNT(T_MEASURES[[#This Row],[Buildings and public facilities]:[Coordination]])</f>
        <v>1</v>
      </c>
      <c r="Y47" s="18">
        <v>1</v>
      </c>
      <c r="Z47" s="18" t="str">
        <f>IF(T_MEASURES[[#This Row],[Buildings and public facilities]]=1,"Yes","No")</f>
        <v>Yes</v>
      </c>
      <c r="AA47" s="18"/>
      <c r="AB47" s="18" t="str">
        <f>IF(T_MEASURES[[#This Row],[Urban planning]]=1,"Yes","No")</f>
        <v>No</v>
      </c>
      <c r="AC47" s="18"/>
      <c r="AD47" s="18" t="str">
        <f>IF(T_MEASURES[[#This Row],[Culture and Sports]],"Yes","No")</f>
        <v>No</v>
      </c>
      <c r="AE47" s="18"/>
      <c r="AF47" s="18" t="str">
        <f>IF(T_MEASURES[[#This Row],[Tourism]],"Yes","No")</f>
        <v>No</v>
      </c>
      <c r="AG47" s="18"/>
      <c r="AH47" s="18" t="str">
        <f>IF(T_MEASURES[[#This Row],[Occupational risks]],"Yes","No")</f>
        <v>No</v>
      </c>
      <c r="AI47" s="18"/>
      <c r="AJ47" s="18" t="str">
        <f>IF(T_MEASURES[[#This Row],[Education]],"Yes","No")</f>
        <v>No</v>
      </c>
      <c r="AK47" s="18"/>
      <c r="AL47" s="18" t="str">
        <f>IF(T_MEASURES[[#This Row],[Social Services]],"Yes","No")</f>
        <v>No</v>
      </c>
      <c r="AM47" s="18"/>
      <c r="AN47" s="18" t="str">
        <f>IF(T_MEASURES[[#This Row],[Emergency Services and Police]],"Yes","No")</f>
        <v>No</v>
      </c>
      <c r="AO47" s="18"/>
      <c r="AP47" s="18" t="str">
        <f>IF(T_MEASURES[[#This Row],[Parks and gardens (Urban Green Infrastructure)]],"Yes","No")</f>
        <v>No</v>
      </c>
      <c r="AQ47" s="18"/>
      <c r="AR47" s="18" t="str">
        <f>IF(T_MEASURES[[#This Row],[Transport]],"Yes","No")</f>
        <v>No</v>
      </c>
      <c r="AS47" s="158"/>
      <c r="AT47" s="1" t="str">
        <f>IF(T_MEASURES[[#This Row],[Coordination]],"Yes","No")</f>
        <v>No</v>
      </c>
      <c r="AU47" s="2"/>
      <c r="AV47" s="1">
        <v>1</v>
      </c>
      <c r="AW47" s="1">
        <v>1</v>
      </c>
      <c r="AX47" s="1">
        <v>1</v>
      </c>
      <c r="AY47" s="3">
        <v>1</v>
      </c>
      <c r="AZ47" s="86">
        <f>SUMPRODUCT($AT$15:$AX$15,T_MEASURES[[#This Row],[&lt;5.000]:[&gt;100.000]])</f>
        <v>1</v>
      </c>
      <c r="BA47" s="1">
        <v>1</v>
      </c>
      <c r="BB47" s="1">
        <v>1</v>
      </c>
      <c r="BC47" s="1">
        <v>1</v>
      </c>
      <c r="BD47" s="1">
        <v>1</v>
      </c>
      <c r="BE47" s="1">
        <v>1</v>
      </c>
      <c r="BF47" s="1">
        <v>1</v>
      </c>
      <c r="BG47" s="1">
        <v>1</v>
      </c>
      <c r="BH47" s="86" cm="1">
        <f t="array" ref="BH47">SUMPRODUCT(--((T_MEASURES[[#This Row],[Health or social care centers]:[Schools / Educational centers]] + $AZ$15:$BF$15)&gt;0))</f>
        <v>7</v>
      </c>
      <c r="BI47" s="1">
        <v>0</v>
      </c>
      <c r="BJ47" s="1">
        <v>0</v>
      </c>
      <c r="BK47" s="1">
        <v>1</v>
      </c>
      <c r="BL47" s="1">
        <v>1</v>
      </c>
      <c r="BM47" s="1">
        <v>1</v>
      </c>
      <c r="BN47" s="1">
        <v>2</v>
      </c>
      <c r="BO47" s="1">
        <v>3</v>
      </c>
      <c r="BP47" s="1">
        <v>2</v>
      </c>
      <c r="BQ47" s="96" cm="1">
        <f t="array" ref="BQ47">T_MEASURES[[#This Row],[Apply size]]*(SUMPRODUCT(T_MEASURES[[#This Row],[C1_Urban Cooling]:[C8_Time]],TRANSPOSE('2.WEIGHTS'!$L$12:$L$19))+(ROW(C47)-ROW($C$18)+1)*0.0000000001)*100</f>
        <v>125.0000003</v>
      </c>
      <c r="BR47" s="21"/>
      <c r="BS47" s="38"/>
    </row>
    <row r="48" spans="1:71" ht="33.6" x14ac:dyDescent="0.3">
      <c r="A48" s="21"/>
      <c r="B48" s="38"/>
      <c r="C48" s="21"/>
      <c r="D48" s="86">
        <f>IF(T_MEASURES[[#This Row],[Weight Criterion]]&lt;=0,"",_xlfn.RANK.EQ(T_MEASURES[[#This Row],[Weight Criterion]],T_MEASURES[Weight Criterion]))</f>
        <v>96</v>
      </c>
      <c r="E48" s="152" t="s">
        <v>187</v>
      </c>
      <c r="F48" s="150" t="s">
        <v>55</v>
      </c>
      <c r="G48" s="150" t="s">
        <v>44</v>
      </c>
      <c r="H48" s="150" t="s">
        <v>145</v>
      </c>
      <c r="I48" s="150" t="s">
        <v>188</v>
      </c>
      <c r="J48" s="150"/>
      <c r="K48" s="153">
        <v>1</v>
      </c>
      <c r="L48" s="18"/>
      <c r="M48" s="18"/>
      <c r="N48" s="154" t="str">
        <f t="shared" si="0"/>
        <v>€</v>
      </c>
      <c r="O48" s="155">
        <v>1</v>
      </c>
      <c r="P48" s="155"/>
      <c r="Q48" s="19"/>
      <c r="R48" s="155"/>
      <c r="S48" s="72" t="str">
        <f>IF(T_MEASURES[[#This Row],[No risk (0)]]=1,"■","")</f>
        <v>■</v>
      </c>
      <c r="T48" s="73" t="str">
        <f>IF(T_MEASURES[[#This Row],[Low risk (1)]]=1,"■","")</f>
        <v/>
      </c>
      <c r="U48" s="74" t="str">
        <f>IF(T_MEASURES[[#This Row],[Medium risk (2)]]=1,"■","")</f>
        <v/>
      </c>
      <c r="V48" s="71" t="str">
        <f>IF(T_MEASURES[[#This Row],[High risk (3)]]=1,"■","")</f>
        <v/>
      </c>
      <c r="W48" s="18" t="str">
        <f t="shared" si="1"/>
        <v>1. No Risk (Green)</v>
      </c>
      <c r="X48" s="18">
        <f>COUNT(T_MEASURES[[#This Row],[Buildings and public facilities]:[Coordination]])</f>
        <v>1</v>
      </c>
      <c r="Y48" s="18"/>
      <c r="Z48" s="18" t="str">
        <f>IF(T_MEASURES[[#This Row],[Buildings and public facilities]]=1,"Yes","No")</f>
        <v>No</v>
      </c>
      <c r="AA48" s="18"/>
      <c r="AB48" s="18" t="str">
        <f>IF(T_MEASURES[[#This Row],[Urban planning]]=1,"Yes","No")</f>
        <v>No</v>
      </c>
      <c r="AC48" s="18"/>
      <c r="AD48" s="18" t="str">
        <f>IF(T_MEASURES[[#This Row],[Culture and Sports]],"Yes","No")</f>
        <v>No</v>
      </c>
      <c r="AE48" s="18"/>
      <c r="AF48" s="18" t="str">
        <f>IF(T_MEASURES[[#This Row],[Tourism]],"Yes","No")</f>
        <v>No</v>
      </c>
      <c r="AG48" s="18"/>
      <c r="AH48" s="18" t="str">
        <f>IF(T_MEASURES[[#This Row],[Occupational risks]],"Yes","No")</f>
        <v>No</v>
      </c>
      <c r="AI48" s="18"/>
      <c r="AJ48" s="18" t="str">
        <f>IF(T_MEASURES[[#This Row],[Education]],"Yes","No")</f>
        <v>No</v>
      </c>
      <c r="AK48" s="18"/>
      <c r="AL48" s="18" t="str">
        <f>IF(T_MEASURES[[#This Row],[Social Services]],"Yes","No")</f>
        <v>No</v>
      </c>
      <c r="AM48" s="18"/>
      <c r="AN48" s="18" t="str">
        <f>IF(T_MEASURES[[#This Row],[Emergency Services and Police]],"Yes","No")</f>
        <v>No</v>
      </c>
      <c r="AO48" s="18"/>
      <c r="AP48" s="18" t="str">
        <f>IF(T_MEASURES[[#This Row],[Parks and gardens (Urban Green Infrastructure)]],"Yes","No")</f>
        <v>No</v>
      </c>
      <c r="AQ48" s="18">
        <v>1</v>
      </c>
      <c r="AR48" s="18" t="str">
        <f>IF(T_MEASURES[[#This Row],[Transport]],"Yes","No")</f>
        <v>Yes</v>
      </c>
      <c r="AS48" s="158"/>
      <c r="AT48" s="1" t="str">
        <f>IF(T_MEASURES[[#This Row],[Coordination]],"Yes","No")</f>
        <v>No</v>
      </c>
      <c r="AU48" s="2"/>
      <c r="AV48" s="1"/>
      <c r="AW48" s="1"/>
      <c r="AX48" s="1">
        <v>1</v>
      </c>
      <c r="AY48" s="3">
        <v>1</v>
      </c>
      <c r="AZ48" s="86">
        <f>SUMPRODUCT($AT$15:$AX$15,T_MEASURES[[#This Row],[&lt;5.000]:[&gt;100.000]])</f>
        <v>1</v>
      </c>
      <c r="BA48" s="1">
        <v>1</v>
      </c>
      <c r="BB48" s="1">
        <v>1</v>
      </c>
      <c r="BC48" s="1">
        <v>1</v>
      </c>
      <c r="BD48" s="1">
        <v>1</v>
      </c>
      <c r="BE48" s="1">
        <v>1</v>
      </c>
      <c r="BF48" s="1"/>
      <c r="BG48" s="1">
        <v>1</v>
      </c>
      <c r="BH48" s="86" cm="1">
        <f t="array" ref="BH48">SUMPRODUCT(--((T_MEASURES[[#This Row],[Health or social care centers]:[Schools / Educational centers]] + $AZ$15:$BF$15)&gt;0))</f>
        <v>6</v>
      </c>
      <c r="BI48" s="88">
        <v>0</v>
      </c>
      <c r="BJ48" s="88">
        <v>0</v>
      </c>
      <c r="BK48" s="88">
        <v>1</v>
      </c>
      <c r="BL48" s="88">
        <v>2</v>
      </c>
      <c r="BM48" s="88">
        <v>3</v>
      </c>
      <c r="BN48" s="88">
        <v>2</v>
      </c>
      <c r="BO48" s="88">
        <v>3</v>
      </c>
      <c r="BP48" s="88">
        <v>3</v>
      </c>
      <c r="BQ48" s="96" cm="1">
        <f t="array" ref="BQ48">T_MEASURES[[#This Row],[Apply size]]*(SUMPRODUCT(T_MEASURES[[#This Row],[C1_Urban Cooling]:[C8_Time]],TRANSPOSE('2.WEIGHTS'!$L$12:$L$19))+(ROW(C48)-ROW($C$18)+1)*0.0000000001)*100</f>
        <v>175.00000030999999</v>
      </c>
      <c r="BR48" s="21"/>
      <c r="BS48" s="38"/>
    </row>
    <row r="49" spans="1:71" ht="33.6" x14ac:dyDescent="0.3">
      <c r="A49" s="21"/>
      <c r="B49" s="38"/>
      <c r="C49" s="21"/>
      <c r="D49" s="86">
        <f>IF(T_MEASURES[[#This Row],[Weight Criterion]]&lt;=0,"",_xlfn.RANK.EQ(T_MEASURES[[#This Row],[Weight Criterion]],T_MEASURES[Weight Criterion]))</f>
        <v>95</v>
      </c>
      <c r="E49" s="152" t="s">
        <v>189</v>
      </c>
      <c r="F49" s="150" t="s">
        <v>55</v>
      </c>
      <c r="G49" s="150" t="s">
        <v>41</v>
      </c>
      <c r="H49" s="150" t="s">
        <v>132</v>
      </c>
      <c r="I49" s="150" t="s">
        <v>190</v>
      </c>
      <c r="J49" s="150"/>
      <c r="K49" s="153"/>
      <c r="L49" s="18">
        <v>1</v>
      </c>
      <c r="M49" s="18"/>
      <c r="N49" s="154" t="str">
        <f t="shared" si="0"/>
        <v>€€</v>
      </c>
      <c r="O49" s="155">
        <v>1</v>
      </c>
      <c r="P49" s="155"/>
      <c r="Q49" s="19"/>
      <c r="R49" s="155"/>
      <c r="S49" s="72" t="str">
        <f>IF(T_MEASURES[[#This Row],[No risk (0)]]=1,"■","")</f>
        <v>■</v>
      </c>
      <c r="T49" s="73" t="str">
        <f>IF(T_MEASURES[[#This Row],[Low risk (1)]]=1,"■","")</f>
        <v/>
      </c>
      <c r="U49" s="74" t="str">
        <f>IF(T_MEASURES[[#This Row],[Medium risk (2)]]=1,"■","")</f>
        <v/>
      </c>
      <c r="V49" s="71" t="str">
        <f>IF(T_MEASURES[[#This Row],[High risk (3)]]=1,"■","")</f>
        <v/>
      </c>
      <c r="W49" s="18" t="str">
        <f t="shared" si="1"/>
        <v>1. No Risk (Green)</v>
      </c>
      <c r="X49" s="18">
        <f>COUNT(T_MEASURES[[#This Row],[Buildings and public facilities]:[Coordination]])</f>
        <v>1</v>
      </c>
      <c r="Y49" s="18"/>
      <c r="Z49" s="18" t="str">
        <f>IF(T_MEASURES[[#This Row],[Buildings and public facilities]]=1,"Yes","No")</f>
        <v>No</v>
      </c>
      <c r="AA49" s="18"/>
      <c r="AB49" s="18" t="str">
        <f>IF(T_MEASURES[[#This Row],[Urban planning]]=1,"Yes","No")</f>
        <v>No</v>
      </c>
      <c r="AC49" s="18"/>
      <c r="AD49" s="18" t="str">
        <f>IF(T_MEASURES[[#This Row],[Culture and Sports]],"Yes","No")</f>
        <v>No</v>
      </c>
      <c r="AE49" s="18"/>
      <c r="AF49" s="18" t="str">
        <f>IF(T_MEASURES[[#This Row],[Tourism]],"Yes","No")</f>
        <v>No</v>
      </c>
      <c r="AG49" s="18"/>
      <c r="AH49" s="18" t="str">
        <f>IF(T_MEASURES[[#This Row],[Occupational risks]],"Yes","No")</f>
        <v>No</v>
      </c>
      <c r="AI49" s="18"/>
      <c r="AJ49" s="18" t="str">
        <f>IF(T_MEASURES[[#This Row],[Education]],"Yes","No")</f>
        <v>No</v>
      </c>
      <c r="AK49" s="18"/>
      <c r="AL49" s="18" t="str">
        <f>IF(T_MEASURES[[#This Row],[Social Services]],"Yes","No")</f>
        <v>No</v>
      </c>
      <c r="AM49" s="18"/>
      <c r="AN49" s="18" t="str">
        <f>IF(T_MEASURES[[#This Row],[Emergency Services and Police]],"Yes","No")</f>
        <v>No</v>
      </c>
      <c r="AO49" s="18"/>
      <c r="AP49" s="18" t="str">
        <f>IF(T_MEASURES[[#This Row],[Parks and gardens (Urban Green Infrastructure)]],"Yes","No")</f>
        <v>No</v>
      </c>
      <c r="AQ49" s="18">
        <v>1</v>
      </c>
      <c r="AR49" s="18" t="str">
        <f>IF(T_MEASURES[[#This Row],[Transport]],"Yes","No")</f>
        <v>Yes</v>
      </c>
      <c r="AS49" s="158"/>
      <c r="AT49" s="1" t="str">
        <f>IF(T_MEASURES[[#This Row],[Coordination]],"Yes","No")</f>
        <v>No</v>
      </c>
      <c r="AU49" s="2"/>
      <c r="AV49" s="1"/>
      <c r="AW49" s="1"/>
      <c r="AX49" s="1">
        <v>1</v>
      </c>
      <c r="AY49" s="3">
        <v>1</v>
      </c>
      <c r="AZ49" s="86">
        <f>SUMPRODUCT($AT$15:$AX$15,T_MEASURES[[#This Row],[&lt;5.000]:[&gt;100.000]])</f>
        <v>1</v>
      </c>
      <c r="BA49" s="1">
        <v>1</v>
      </c>
      <c r="BB49" s="1">
        <v>1</v>
      </c>
      <c r="BC49" s="1">
        <v>1</v>
      </c>
      <c r="BD49" s="1">
        <v>1</v>
      </c>
      <c r="BE49" s="1">
        <v>1</v>
      </c>
      <c r="BF49" s="1"/>
      <c r="BG49" s="1">
        <v>1</v>
      </c>
      <c r="BH49" s="86" cm="1">
        <f t="array" ref="BH49">SUMPRODUCT(--((T_MEASURES[[#This Row],[Health or social care centers]:[Schools / Educational centers]] + $AZ$15:$BF$15)&gt;0))</f>
        <v>6</v>
      </c>
      <c r="BI49" s="1">
        <v>2</v>
      </c>
      <c r="BJ49" s="1">
        <v>2</v>
      </c>
      <c r="BK49" s="1">
        <v>2</v>
      </c>
      <c r="BL49" s="1">
        <v>2</v>
      </c>
      <c r="BM49" s="1">
        <v>2</v>
      </c>
      <c r="BN49" s="1">
        <v>1</v>
      </c>
      <c r="BO49" s="1">
        <v>2</v>
      </c>
      <c r="BP49" s="1">
        <v>1</v>
      </c>
      <c r="BQ49" s="96" cm="1">
        <f t="array" ref="BQ49">T_MEASURES[[#This Row],[Apply size]]*(SUMPRODUCT(T_MEASURES[[#This Row],[C1_Urban Cooling]:[C8_Time]],TRANSPOSE('2.WEIGHTS'!$L$12:$L$19))+(ROW(C49)-ROW($C$18)+1)*0.0000000001)*100</f>
        <v>175.00000032</v>
      </c>
      <c r="BR49" s="21"/>
      <c r="BS49" s="38"/>
    </row>
    <row r="50" spans="1:71" ht="33.6" x14ac:dyDescent="0.3">
      <c r="A50" s="21"/>
      <c r="B50" s="38"/>
      <c r="C50" s="21"/>
      <c r="D50" s="86">
        <f>IF(T_MEASURES[[#This Row],[Weight Criterion]]&lt;=0,"",_xlfn.RANK.EQ(T_MEASURES[[#This Row],[Weight Criterion]],T_MEASURES[Weight Criterion]))</f>
        <v>78</v>
      </c>
      <c r="E50" s="152" t="s">
        <v>191</v>
      </c>
      <c r="F50" s="150" t="s">
        <v>55</v>
      </c>
      <c r="G50" s="150" t="s">
        <v>44</v>
      </c>
      <c r="H50" s="150" t="s">
        <v>145</v>
      </c>
      <c r="I50" s="150" t="s">
        <v>192</v>
      </c>
      <c r="J50" s="150"/>
      <c r="K50" s="153">
        <v>1</v>
      </c>
      <c r="L50" s="18"/>
      <c r="M50" s="18"/>
      <c r="N50" s="154" t="str">
        <f t="shared" ref="N50:N81" si="2">IF(M50&lt;&gt;"","€€€", IF(L50&lt;&gt;"","€€", IF(K50&lt;&gt;"","€","-")))</f>
        <v>€</v>
      </c>
      <c r="O50" s="155">
        <v>1</v>
      </c>
      <c r="P50" s="155">
        <v>1</v>
      </c>
      <c r="Q50" s="19"/>
      <c r="R50" s="155"/>
      <c r="S50" s="72" t="str">
        <f>IF(T_MEASURES[[#This Row],[No risk (0)]]=1,"■","")</f>
        <v>■</v>
      </c>
      <c r="T50" s="73" t="str">
        <f>IF(T_MEASURES[[#This Row],[Low risk (1)]]=1,"■","")</f>
        <v>■</v>
      </c>
      <c r="U50" s="74" t="str">
        <f>IF(T_MEASURES[[#This Row],[Medium risk (2)]]=1,"■","")</f>
        <v/>
      </c>
      <c r="V50" s="71" t="str">
        <f>IF(T_MEASURES[[#This Row],[High risk (3)]]=1,"■","")</f>
        <v/>
      </c>
      <c r="W50" s="18" t="str">
        <f t="shared" si="1"/>
        <v>2. Low (Yellow)</v>
      </c>
      <c r="X50" s="18">
        <f>COUNT(T_MEASURES[[#This Row],[Buildings and public facilities]:[Coordination]])</f>
        <v>1</v>
      </c>
      <c r="Y50" s="18"/>
      <c r="Z50" s="18" t="str">
        <f>IF(T_MEASURES[[#This Row],[Buildings and public facilities]]=1,"Yes","No")</f>
        <v>No</v>
      </c>
      <c r="AA50" s="18"/>
      <c r="AB50" s="18" t="str">
        <f>IF(T_MEASURES[[#This Row],[Urban planning]]=1,"Yes","No")</f>
        <v>No</v>
      </c>
      <c r="AC50" s="18"/>
      <c r="AD50" s="18" t="str">
        <f>IF(T_MEASURES[[#This Row],[Culture and Sports]],"Yes","No")</f>
        <v>No</v>
      </c>
      <c r="AE50" s="18"/>
      <c r="AF50" s="18" t="str">
        <f>IF(T_MEASURES[[#This Row],[Tourism]],"Yes","No")</f>
        <v>No</v>
      </c>
      <c r="AG50" s="18"/>
      <c r="AH50" s="18" t="str">
        <f>IF(T_MEASURES[[#This Row],[Occupational risks]],"Yes","No")</f>
        <v>No</v>
      </c>
      <c r="AI50" s="18"/>
      <c r="AJ50" s="18" t="str">
        <f>IF(T_MEASURES[[#This Row],[Education]],"Yes","No")</f>
        <v>No</v>
      </c>
      <c r="AK50" s="18"/>
      <c r="AL50" s="18" t="str">
        <f>IF(T_MEASURES[[#This Row],[Social Services]],"Yes","No")</f>
        <v>No</v>
      </c>
      <c r="AM50" s="18"/>
      <c r="AN50" s="18" t="str">
        <f>IF(T_MEASURES[[#This Row],[Emergency Services and Police]],"Yes","No")</f>
        <v>No</v>
      </c>
      <c r="AO50" s="18"/>
      <c r="AP50" s="18" t="str">
        <f>IF(T_MEASURES[[#This Row],[Parks and gardens (Urban Green Infrastructure)]],"Yes","No")</f>
        <v>No</v>
      </c>
      <c r="AQ50" s="18">
        <v>1</v>
      </c>
      <c r="AR50" s="18" t="str">
        <f>IF(T_MEASURES[[#This Row],[Transport]],"Yes","No")</f>
        <v>Yes</v>
      </c>
      <c r="AS50" s="158"/>
      <c r="AT50" s="1" t="str">
        <f>IF(T_MEASURES[[#This Row],[Coordination]],"Yes","No")</f>
        <v>No</v>
      </c>
      <c r="AU50" s="2"/>
      <c r="AV50" s="1"/>
      <c r="AW50" s="1"/>
      <c r="AX50" s="1">
        <v>1</v>
      </c>
      <c r="AY50" s="3">
        <v>1</v>
      </c>
      <c r="AZ50" s="86">
        <f>SUMPRODUCT($AT$15:$AX$15,T_MEASURES[[#This Row],[&lt;5.000]:[&gt;100.000]])</f>
        <v>1</v>
      </c>
      <c r="BA50" s="1">
        <v>1</v>
      </c>
      <c r="BB50" s="1">
        <v>1</v>
      </c>
      <c r="BC50" s="1">
        <v>1</v>
      </c>
      <c r="BD50" s="1">
        <v>1</v>
      </c>
      <c r="BE50" s="1">
        <v>1</v>
      </c>
      <c r="BF50" s="1"/>
      <c r="BG50" s="1">
        <v>1</v>
      </c>
      <c r="BH50" s="86" cm="1">
        <f t="array" ref="BH50">SUMPRODUCT(--((T_MEASURES[[#This Row],[Health or social care centers]:[Schools / Educational centers]] + $AZ$15:$BF$15)&gt;0))</f>
        <v>6</v>
      </c>
      <c r="BI50" s="88">
        <v>0</v>
      </c>
      <c r="BJ50" s="88">
        <v>0</v>
      </c>
      <c r="BK50" s="88">
        <v>2</v>
      </c>
      <c r="BL50" s="88">
        <v>2</v>
      </c>
      <c r="BM50" s="88">
        <v>3</v>
      </c>
      <c r="BN50" s="88">
        <v>2</v>
      </c>
      <c r="BO50" s="88">
        <v>3</v>
      </c>
      <c r="BP50" s="88">
        <v>3</v>
      </c>
      <c r="BQ50" s="96" cm="1">
        <f t="array" ref="BQ50">T_MEASURES[[#This Row],[Apply size]]*(SUMPRODUCT(T_MEASURES[[#This Row],[C1_Urban Cooling]:[C8_Time]],TRANSPOSE('2.WEIGHTS'!$L$12:$L$19))+(ROW(C50)-ROW($C$18)+1)*0.0000000001)*100</f>
        <v>187.50000033000001</v>
      </c>
      <c r="BR50" s="21"/>
      <c r="BS50" s="38"/>
    </row>
    <row r="51" spans="1:71" ht="33.6" x14ac:dyDescent="0.3">
      <c r="A51" s="21"/>
      <c r="B51" s="38"/>
      <c r="C51" s="21"/>
      <c r="D51" s="86">
        <f>IF(T_MEASURES[[#This Row],[Weight Criterion]]&lt;=0,"",_xlfn.RANK.EQ(T_MEASURES[[#This Row],[Weight Criterion]],T_MEASURES[Weight Criterion]))</f>
        <v>94</v>
      </c>
      <c r="E51" s="152" t="s">
        <v>193</v>
      </c>
      <c r="F51" s="150" t="s">
        <v>55</v>
      </c>
      <c r="G51" s="150" t="s">
        <v>43</v>
      </c>
      <c r="H51" s="150" t="s">
        <v>194</v>
      </c>
      <c r="I51" s="151" t="s">
        <v>195</v>
      </c>
      <c r="J51" s="151"/>
      <c r="K51" s="153"/>
      <c r="L51" s="18">
        <v>1</v>
      </c>
      <c r="M51" s="18">
        <v>1</v>
      </c>
      <c r="N51" s="154" t="str">
        <f t="shared" si="2"/>
        <v>€€€</v>
      </c>
      <c r="O51" s="155">
        <v>1</v>
      </c>
      <c r="P51" s="155"/>
      <c r="Q51" s="19"/>
      <c r="R51" s="155"/>
      <c r="S51" s="72" t="str">
        <f>IF(T_MEASURES[[#This Row],[No risk (0)]]=1,"■","")</f>
        <v>■</v>
      </c>
      <c r="T51" s="73" t="str">
        <f>IF(T_MEASURES[[#This Row],[Low risk (1)]]=1,"■","")</f>
        <v/>
      </c>
      <c r="U51" s="74" t="str">
        <f>IF(T_MEASURES[[#This Row],[Medium risk (2)]]=1,"■","")</f>
        <v/>
      </c>
      <c r="V51" s="71" t="str">
        <f>IF(T_MEASURES[[#This Row],[High risk (3)]]=1,"■","")</f>
        <v/>
      </c>
      <c r="W51" s="18" t="str">
        <f t="shared" si="1"/>
        <v>1. No Risk (Green)</v>
      </c>
      <c r="X51" s="18">
        <f>COUNT(T_MEASURES[[#This Row],[Buildings and public facilities]:[Coordination]])</f>
        <v>2</v>
      </c>
      <c r="Y51" s="18"/>
      <c r="Z51" s="18" t="str">
        <f>IF(T_MEASURES[[#This Row],[Buildings and public facilities]]=1,"Yes","No")</f>
        <v>No</v>
      </c>
      <c r="AA51" s="18">
        <v>1</v>
      </c>
      <c r="AB51" s="18" t="str">
        <f>IF(T_MEASURES[[#This Row],[Urban planning]]=1,"Yes","No")</f>
        <v>Yes</v>
      </c>
      <c r="AC51" s="18"/>
      <c r="AD51" s="18" t="str">
        <f>IF(T_MEASURES[[#This Row],[Culture and Sports]],"Yes","No")</f>
        <v>No</v>
      </c>
      <c r="AE51" s="18"/>
      <c r="AF51" s="18" t="str">
        <f>IF(T_MEASURES[[#This Row],[Tourism]],"Yes","No")</f>
        <v>No</v>
      </c>
      <c r="AG51" s="18"/>
      <c r="AH51" s="18" t="str">
        <f>IF(T_MEASURES[[#This Row],[Occupational risks]],"Yes","No")</f>
        <v>No</v>
      </c>
      <c r="AI51" s="18"/>
      <c r="AJ51" s="18" t="str">
        <f>IF(T_MEASURES[[#This Row],[Education]],"Yes","No")</f>
        <v>No</v>
      </c>
      <c r="AK51" s="18">
        <v>1</v>
      </c>
      <c r="AL51" s="18" t="str">
        <f>IF(T_MEASURES[[#This Row],[Social Services]],"Yes","No")</f>
        <v>Yes</v>
      </c>
      <c r="AM51" s="18"/>
      <c r="AN51" s="18" t="str">
        <f>IF(T_MEASURES[[#This Row],[Emergency Services and Police]],"Yes","No")</f>
        <v>No</v>
      </c>
      <c r="AO51" s="18"/>
      <c r="AP51" s="18" t="str">
        <f>IF(T_MEASURES[[#This Row],[Parks and gardens (Urban Green Infrastructure)]],"Yes","No")</f>
        <v>No</v>
      </c>
      <c r="AQ51" s="18"/>
      <c r="AR51" s="18" t="str">
        <f>IF(T_MEASURES[[#This Row],[Transport]],"Yes","No")</f>
        <v>No</v>
      </c>
      <c r="AS51" s="158"/>
      <c r="AT51" s="1" t="str">
        <f>IF(T_MEASURES[[#This Row],[Coordination]],"Yes","No")</f>
        <v>No</v>
      </c>
      <c r="AU51" s="2"/>
      <c r="AV51" s="1"/>
      <c r="AW51" s="1">
        <v>1</v>
      </c>
      <c r="AX51" s="1">
        <v>1</v>
      </c>
      <c r="AY51" s="3">
        <v>1</v>
      </c>
      <c r="AZ51" s="86">
        <f>SUMPRODUCT($AT$15:$AX$15,T_MEASURES[[#This Row],[&lt;5.000]:[&gt;100.000]])</f>
        <v>1</v>
      </c>
      <c r="BA51" s="1">
        <v>1</v>
      </c>
      <c r="BB51" s="1">
        <v>1</v>
      </c>
      <c r="BC51" s="1">
        <v>1</v>
      </c>
      <c r="BD51" s="1">
        <v>1</v>
      </c>
      <c r="BE51" s="1">
        <v>1</v>
      </c>
      <c r="BF51" s="1">
        <v>1</v>
      </c>
      <c r="BG51" s="1">
        <v>1</v>
      </c>
      <c r="BH51" s="86" cm="1">
        <f t="array" ref="BH51">SUMPRODUCT(--((T_MEASURES[[#This Row],[Health or social care centers]:[Schools / Educational centers]] + $AZ$15:$BF$15)&gt;0))</f>
        <v>7</v>
      </c>
      <c r="BI51" s="1">
        <v>0</v>
      </c>
      <c r="BJ51" s="1">
        <v>0</v>
      </c>
      <c r="BK51" s="1">
        <v>3</v>
      </c>
      <c r="BL51" s="1">
        <v>2</v>
      </c>
      <c r="BM51" s="1">
        <v>3</v>
      </c>
      <c r="BN51" s="1">
        <v>2</v>
      </c>
      <c r="BO51" s="1">
        <v>2</v>
      </c>
      <c r="BP51" s="1">
        <v>2</v>
      </c>
      <c r="BQ51" s="96" cm="1">
        <f t="array" ref="BQ51">T_MEASURES[[#This Row],[Apply size]]*(SUMPRODUCT(T_MEASURES[[#This Row],[C1_Urban Cooling]:[C8_Time]],TRANSPOSE('2.WEIGHTS'!$L$12:$L$19))+(ROW(C51)-ROW($C$18)+1)*0.0000000001)*100</f>
        <v>175.00000034000001</v>
      </c>
      <c r="BR51" s="21"/>
      <c r="BS51" s="38"/>
    </row>
    <row r="52" spans="1:71" ht="33.6" x14ac:dyDescent="0.3">
      <c r="A52" s="21"/>
      <c r="B52" s="38"/>
      <c r="C52" s="21"/>
      <c r="D52" s="86">
        <f>IF(T_MEASURES[[#This Row],[Weight Criterion]]&lt;=0,"",_xlfn.RANK.EQ(T_MEASURES[[#This Row],[Weight Criterion]],T_MEASURES[Weight Criterion]))</f>
        <v>93</v>
      </c>
      <c r="E52" s="152" t="s">
        <v>196</v>
      </c>
      <c r="F52" s="150" t="s">
        <v>55</v>
      </c>
      <c r="G52" s="150" t="s">
        <v>44</v>
      </c>
      <c r="H52" s="150" t="s">
        <v>145</v>
      </c>
      <c r="I52" s="151" t="s">
        <v>197</v>
      </c>
      <c r="J52" s="151"/>
      <c r="K52" s="153">
        <v>1</v>
      </c>
      <c r="L52" s="18"/>
      <c r="M52" s="18"/>
      <c r="N52" s="154" t="str">
        <f t="shared" si="2"/>
        <v>€</v>
      </c>
      <c r="O52" s="155">
        <v>1</v>
      </c>
      <c r="P52" s="155"/>
      <c r="Q52" s="19"/>
      <c r="R52" s="155"/>
      <c r="S52" s="72" t="str">
        <f>IF(T_MEASURES[[#This Row],[No risk (0)]]=1,"■","")</f>
        <v>■</v>
      </c>
      <c r="T52" s="73" t="str">
        <f>IF(T_MEASURES[[#This Row],[Low risk (1)]]=1,"■","")</f>
        <v/>
      </c>
      <c r="U52" s="74" t="str">
        <f>IF(T_MEASURES[[#This Row],[Medium risk (2)]]=1,"■","")</f>
        <v/>
      </c>
      <c r="V52" s="71" t="str">
        <f>IF(T_MEASURES[[#This Row],[High risk (3)]]=1,"■","")</f>
        <v/>
      </c>
      <c r="W52" s="18" t="str">
        <f t="shared" si="1"/>
        <v>1. No Risk (Green)</v>
      </c>
      <c r="X52" s="18">
        <f>COUNT(T_MEASURES[[#This Row],[Buildings and public facilities]:[Coordination]])</f>
        <v>1</v>
      </c>
      <c r="Y52" s="18"/>
      <c r="Z52" s="18" t="str">
        <f>IF(T_MEASURES[[#This Row],[Buildings and public facilities]]=1,"Yes","No")</f>
        <v>No</v>
      </c>
      <c r="AA52" s="18"/>
      <c r="AB52" s="18" t="str">
        <f>IF(T_MEASURES[[#This Row],[Urban planning]]=1,"Yes","No")</f>
        <v>No</v>
      </c>
      <c r="AC52" s="18"/>
      <c r="AD52" s="18" t="str">
        <f>IF(T_MEASURES[[#This Row],[Culture and Sports]],"Yes","No")</f>
        <v>No</v>
      </c>
      <c r="AE52" s="18"/>
      <c r="AF52" s="18" t="str">
        <f>IF(T_MEASURES[[#This Row],[Tourism]],"Yes","No")</f>
        <v>No</v>
      </c>
      <c r="AG52" s="18"/>
      <c r="AH52" s="18" t="str">
        <f>IF(T_MEASURES[[#This Row],[Occupational risks]],"Yes","No")</f>
        <v>No</v>
      </c>
      <c r="AI52" s="18"/>
      <c r="AJ52" s="18" t="str">
        <f>IF(T_MEASURES[[#This Row],[Education]],"Yes","No")</f>
        <v>No</v>
      </c>
      <c r="AK52" s="18">
        <v>1</v>
      </c>
      <c r="AL52" s="18" t="str">
        <f>IF(T_MEASURES[[#This Row],[Social Services]],"Yes","No")</f>
        <v>Yes</v>
      </c>
      <c r="AM52" s="18"/>
      <c r="AN52" s="18" t="str">
        <f>IF(T_MEASURES[[#This Row],[Emergency Services and Police]],"Yes","No")</f>
        <v>No</v>
      </c>
      <c r="AO52" s="18"/>
      <c r="AP52" s="18" t="str">
        <f>IF(T_MEASURES[[#This Row],[Parks and gardens (Urban Green Infrastructure)]],"Yes","No")</f>
        <v>No</v>
      </c>
      <c r="AQ52" s="18"/>
      <c r="AR52" s="18" t="str">
        <f>IF(T_MEASURES[[#This Row],[Transport]],"Yes","No")</f>
        <v>No</v>
      </c>
      <c r="AS52" s="158"/>
      <c r="AT52" s="1" t="str">
        <f>IF(T_MEASURES[[#This Row],[Coordination]],"Yes","No")</f>
        <v>No</v>
      </c>
      <c r="AU52" s="2"/>
      <c r="AV52" s="1"/>
      <c r="AW52" s="1"/>
      <c r="AX52" s="1">
        <v>1</v>
      </c>
      <c r="AY52" s="3">
        <v>1</v>
      </c>
      <c r="AZ52" s="86">
        <f>SUMPRODUCT($AT$15:$AX$15,T_MEASURES[[#This Row],[&lt;5.000]:[&gt;100.000]])</f>
        <v>1</v>
      </c>
      <c r="BA52" s="1">
        <v>1</v>
      </c>
      <c r="BB52" s="1">
        <v>1</v>
      </c>
      <c r="BC52" s="1">
        <v>1</v>
      </c>
      <c r="BD52" s="1">
        <v>1</v>
      </c>
      <c r="BE52" s="1">
        <v>1</v>
      </c>
      <c r="BF52" s="1">
        <v>1</v>
      </c>
      <c r="BG52" s="1">
        <v>1</v>
      </c>
      <c r="BH52" s="86" cm="1">
        <f t="array" ref="BH52">SUMPRODUCT(--((T_MEASURES[[#This Row],[Health or social care centers]:[Schools / Educational centers]] + $AZ$15:$BF$15)&gt;0))</f>
        <v>7</v>
      </c>
      <c r="BI52" s="88">
        <v>0</v>
      </c>
      <c r="BJ52" s="88">
        <v>0</v>
      </c>
      <c r="BK52" s="88">
        <v>3</v>
      </c>
      <c r="BL52" s="88">
        <v>2</v>
      </c>
      <c r="BM52" s="88">
        <v>3</v>
      </c>
      <c r="BN52" s="88">
        <v>2</v>
      </c>
      <c r="BO52" s="88">
        <v>2</v>
      </c>
      <c r="BP52" s="88">
        <v>2</v>
      </c>
      <c r="BQ52" s="96" cm="1">
        <f t="array" ref="BQ52">T_MEASURES[[#This Row],[Apply size]]*(SUMPRODUCT(T_MEASURES[[#This Row],[C1_Urban Cooling]:[C8_Time]],TRANSPOSE('2.WEIGHTS'!$L$12:$L$19))+(ROW(C52)-ROW($C$18)+1)*0.0000000001)*100</f>
        <v>175.00000034999999</v>
      </c>
      <c r="BR52" s="21"/>
      <c r="BS52" s="38"/>
    </row>
    <row r="53" spans="1:71" ht="33.6" x14ac:dyDescent="0.3">
      <c r="A53" s="21"/>
      <c r="B53" s="38"/>
      <c r="C53" s="21"/>
      <c r="D53" s="86">
        <f>IF(T_MEASURES[[#This Row],[Weight Criterion]]&lt;=0,"",_xlfn.RANK.EQ(T_MEASURES[[#This Row],[Weight Criterion]],T_MEASURES[Weight Criterion]))</f>
        <v>116</v>
      </c>
      <c r="E53" s="152" t="s">
        <v>198</v>
      </c>
      <c r="F53" s="150" t="s">
        <v>55</v>
      </c>
      <c r="G53" s="150" t="s">
        <v>42</v>
      </c>
      <c r="H53" s="150" t="s">
        <v>135</v>
      </c>
      <c r="I53" s="151" t="s">
        <v>199</v>
      </c>
      <c r="J53" s="151"/>
      <c r="K53" s="153">
        <v>1</v>
      </c>
      <c r="L53" s="18">
        <v>1</v>
      </c>
      <c r="M53" s="18"/>
      <c r="N53" s="154" t="str">
        <f t="shared" si="2"/>
        <v>€€</v>
      </c>
      <c r="O53" s="155">
        <v>1</v>
      </c>
      <c r="P53" s="155"/>
      <c r="Q53" s="19"/>
      <c r="R53" s="155"/>
      <c r="S53" s="72" t="str">
        <f>IF(T_MEASURES[[#This Row],[No risk (0)]]=1,"■","")</f>
        <v>■</v>
      </c>
      <c r="T53" s="73" t="str">
        <f>IF(T_MEASURES[[#This Row],[Low risk (1)]]=1,"■","")</f>
        <v/>
      </c>
      <c r="U53" s="74" t="str">
        <f>IF(T_MEASURES[[#This Row],[Medium risk (2)]]=1,"■","")</f>
        <v/>
      </c>
      <c r="V53" s="71" t="str">
        <f>IF(T_MEASURES[[#This Row],[High risk (3)]]=1,"■","")</f>
        <v/>
      </c>
      <c r="W53" s="18" t="str">
        <f t="shared" si="1"/>
        <v>1. No Risk (Green)</v>
      </c>
      <c r="X53" s="18">
        <f>COUNT(T_MEASURES[[#This Row],[Buildings and public facilities]:[Coordination]])</f>
        <v>1</v>
      </c>
      <c r="Y53" s="18"/>
      <c r="Z53" s="18" t="str">
        <f>IF(T_MEASURES[[#This Row],[Buildings and public facilities]]=1,"Yes","No")</f>
        <v>No</v>
      </c>
      <c r="AA53" s="18">
        <v>1</v>
      </c>
      <c r="AB53" s="18" t="str">
        <f>IF(T_MEASURES[[#This Row],[Urban planning]]=1,"Yes","No")</f>
        <v>Yes</v>
      </c>
      <c r="AC53" s="18"/>
      <c r="AD53" s="18" t="str">
        <f>IF(T_MEASURES[[#This Row],[Culture and Sports]],"Yes","No")</f>
        <v>No</v>
      </c>
      <c r="AE53" s="18"/>
      <c r="AF53" s="18" t="str">
        <f>IF(T_MEASURES[[#This Row],[Tourism]],"Yes","No")</f>
        <v>No</v>
      </c>
      <c r="AG53" s="18"/>
      <c r="AH53" s="18" t="str">
        <f>IF(T_MEASURES[[#This Row],[Occupational risks]],"Yes","No")</f>
        <v>No</v>
      </c>
      <c r="AI53" s="18"/>
      <c r="AJ53" s="18" t="str">
        <f>IF(T_MEASURES[[#This Row],[Education]],"Yes","No")</f>
        <v>No</v>
      </c>
      <c r="AK53" s="18"/>
      <c r="AL53" s="18" t="str">
        <f>IF(T_MEASURES[[#This Row],[Social Services]],"Yes","No")</f>
        <v>No</v>
      </c>
      <c r="AM53" s="18"/>
      <c r="AN53" s="18" t="str">
        <f>IF(T_MEASURES[[#This Row],[Emergency Services and Police]],"Yes","No")</f>
        <v>No</v>
      </c>
      <c r="AO53" s="18"/>
      <c r="AP53" s="18" t="str">
        <f>IF(T_MEASURES[[#This Row],[Parks and gardens (Urban Green Infrastructure)]],"Yes","No")</f>
        <v>No</v>
      </c>
      <c r="AQ53" s="18"/>
      <c r="AR53" s="18" t="str">
        <f>IF(T_MEASURES[[#This Row],[Transport]],"Yes","No")</f>
        <v>No</v>
      </c>
      <c r="AS53" s="158"/>
      <c r="AT53" s="1" t="str">
        <f>IF(T_MEASURES[[#This Row],[Coordination]],"Yes","No")</f>
        <v>No</v>
      </c>
      <c r="AU53" s="2"/>
      <c r="AV53" s="1"/>
      <c r="AW53" s="1"/>
      <c r="AX53" s="1">
        <v>1</v>
      </c>
      <c r="AY53" s="3">
        <v>1</v>
      </c>
      <c r="AZ53" s="86">
        <f>SUMPRODUCT($AT$15:$AX$15,T_MEASURES[[#This Row],[&lt;5.000]:[&gt;100.000]])</f>
        <v>1</v>
      </c>
      <c r="BA53" s="1">
        <v>1</v>
      </c>
      <c r="BB53" s="1">
        <v>1</v>
      </c>
      <c r="BC53" s="1">
        <v>1</v>
      </c>
      <c r="BD53" s="1">
        <v>1</v>
      </c>
      <c r="BE53" s="1">
        <v>1</v>
      </c>
      <c r="BF53" s="1">
        <v>1</v>
      </c>
      <c r="BG53" s="1">
        <v>1</v>
      </c>
      <c r="BH53" s="86" cm="1">
        <f t="array" ref="BH53">SUMPRODUCT(--((T_MEASURES[[#This Row],[Health or social care centers]:[Schools / Educational centers]] + $AZ$15:$BF$15)&gt;0))</f>
        <v>7</v>
      </c>
      <c r="BI53" s="1">
        <v>0</v>
      </c>
      <c r="BJ53" s="1">
        <v>0</v>
      </c>
      <c r="BK53" s="1">
        <v>1</v>
      </c>
      <c r="BL53" s="1">
        <v>1</v>
      </c>
      <c r="BM53" s="1">
        <v>3</v>
      </c>
      <c r="BN53" s="1">
        <v>2</v>
      </c>
      <c r="BO53" s="1">
        <v>3</v>
      </c>
      <c r="BP53" s="1">
        <v>3</v>
      </c>
      <c r="BQ53" s="96" cm="1">
        <f t="array" ref="BQ53">T_MEASURES[[#This Row],[Apply size]]*(SUMPRODUCT(T_MEASURES[[#This Row],[C1_Urban Cooling]:[C8_Time]],TRANSPOSE('2.WEIGHTS'!$L$12:$L$19))+(ROW(C53)-ROW($C$18)+1)*0.0000000001)*100</f>
        <v>162.50000036</v>
      </c>
      <c r="BR53" s="21"/>
      <c r="BS53" s="38"/>
    </row>
    <row r="54" spans="1:71" ht="33.6" x14ac:dyDescent="0.3">
      <c r="A54" s="21"/>
      <c r="B54" s="38"/>
      <c r="C54" s="21"/>
      <c r="D54" s="86">
        <f>IF(T_MEASURES[[#This Row],[Weight Criterion]]&lt;=0,"",_xlfn.RANK.EQ(T_MEASURES[[#This Row],[Weight Criterion]],T_MEASURES[Weight Criterion]))</f>
        <v>92</v>
      </c>
      <c r="E54" s="152" t="s">
        <v>200</v>
      </c>
      <c r="F54" s="151" t="s">
        <v>55</v>
      </c>
      <c r="G54" s="151" t="s">
        <v>44</v>
      </c>
      <c r="H54" s="151" t="s">
        <v>145</v>
      </c>
      <c r="I54" s="151" t="s">
        <v>201</v>
      </c>
      <c r="J54" s="151"/>
      <c r="K54" s="153">
        <v>1</v>
      </c>
      <c r="L54" s="18"/>
      <c r="M54" s="18"/>
      <c r="N54" s="154" t="str">
        <f t="shared" si="2"/>
        <v>€</v>
      </c>
      <c r="O54" s="155">
        <v>1</v>
      </c>
      <c r="P54" s="155"/>
      <c r="Q54" s="19"/>
      <c r="R54" s="155"/>
      <c r="S54" s="72" t="str">
        <f>IF(T_MEASURES[[#This Row],[No risk (0)]]=1,"■","")</f>
        <v>■</v>
      </c>
      <c r="T54" s="73" t="str">
        <f>IF(T_MEASURES[[#This Row],[Low risk (1)]]=1,"■","")</f>
        <v/>
      </c>
      <c r="U54" s="74" t="str">
        <f>IF(T_MEASURES[[#This Row],[Medium risk (2)]]=1,"■","")</f>
        <v/>
      </c>
      <c r="V54" s="71" t="str">
        <f>IF(T_MEASURES[[#This Row],[High risk (3)]]=1,"■","")</f>
        <v/>
      </c>
      <c r="W54" s="18" t="str">
        <f t="shared" si="1"/>
        <v>1. No Risk (Green)</v>
      </c>
      <c r="X54" s="18">
        <f>COUNT(T_MEASURES[[#This Row],[Buildings and public facilities]:[Coordination]])</f>
        <v>2</v>
      </c>
      <c r="Y54" s="18"/>
      <c r="Z54" s="18" t="str">
        <f>IF(T_MEASURES[[#This Row],[Buildings and public facilities]]=1,"Yes","No")</f>
        <v>No</v>
      </c>
      <c r="AA54" s="18"/>
      <c r="AB54" s="18" t="str">
        <f>IF(T_MEASURES[[#This Row],[Urban planning]]=1,"Yes","No")</f>
        <v>No</v>
      </c>
      <c r="AC54" s="18">
        <v>1</v>
      </c>
      <c r="AD54" s="18" t="str">
        <f>IF(T_MEASURES[[#This Row],[Culture and Sports]],"Yes","No")</f>
        <v>Yes</v>
      </c>
      <c r="AE54" s="18">
        <v>1</v>
      </c>
      <c r="AF54" s="18" t="str">
        <f>IF(T_MEASURES[[#This Row],[Tourism]],"Yes","No")</f>
        <v>Yes</v>
      </c>
      <c r="AG54" s="18"/>
      <c r="AH54" s="18" t="str">
        <f>IF(T_MEASURES[[#This Row],[Occupational risks]],"Yes","No")</f>
        <v>No</v>
      </c>
      <c r="AI54" s="18"/>
      <c r="AJ54" s="18" t="str">
        <f>IF(T_MEASURES[[#This Row],[Education]],"Yes","No")</f>
        <v>No</v>
      </c>
      <c r="AK54" s="18"/>
      <c r="AL54" s="18" t="str">
        <f>IF(T_MEASURES[[#This Row],[Social Services]],"Yes","No")</f>
        <v>No</v>
      </c>
      <c r="AM54" s="18"/>
      <c r="AN54" s="18" t="str">
        <f>IF(T_MEASURES[[#This Row],[Emergency Services and Police]],"Yes","No")</f>
        <v>No</v>
      </c>
      <c r="AO54" s="18"/>
      <c r="AP54" s="18" t="str">
        <f>IF(T_MEASURES[[#This Row],[Parks and gardens (Urban Green Infrastructure)]],"Yes","No")</f>
        <v>No</v>
      </c>
      <c r="AQ54" s="18"/>
      <c r="AR54" s="18" t="str">
        <f>IF(T_MEASURES[[#This Row],[Transport]],"Yes","No")</f>
        <v>No</v>
      </c>
      <c r="AS54" s="158"/>
      <c r="AT54" s="1" t="str">
        <f>IF(T_MEASURES[[#This Row],[Coordination]],"Yes","No")</f>
        <v>No</v>
      </c>
      <c r="AU54" s="2">
        <v>1</v>
      </c>
      <c r="AV54" s="1">
        <v>1</v>
      </c>
      <c r="AW54" s="1">
        <v>1</v>
      </c>
      <c r="AX54" s="1">
        <v>1</v>
      </c>
      <c r="AY54" s="3">
        <v>1</v>
      </c>
      <c r="AZ54" s="86">
        <f>SUMPRODUCT($AT$15:$AX$15,T_MEASURES[[#This Row],[&lt;5.000]:[&gt;100.000]])</f>
        <v>1</v>
      </c>
      <c r="BA54" s="1">
        <v>1</v>
      </c>
      <c r="BB54" s="1">
        <v>1</v>
      </c>
      <c r="BC54" s="1">
        <v>1</v>
      </c>
      <c r="BD54" s="1">
        <v>1</v>
      </c>
      <c r="BE54" s="1">
        <v>1</v>
      </c>
      <c r="BF54" s="1">
        <v>1</v>
      </c>
      <c r="BG54" s="1">
        <v>1</v>
      </c>
      <c r="BH54" s="86" cm="1">
        <f t="array" ref="BH54">SUMPRODUCT(--((T_MEASURES[[#This Row],[Health or social care centers]:[Schools / Educational centers]] + $AZ$15:$BF$15)&gt;0))</f>
        <v>7</v>
      </c>
      <c r="BI54" s="88">
        <v>0</v>
      </c>
      <c r="BJ54" s="88">
        <v>0</v>
      </c>
      <c r="BK54" s="88">
        <v>1</v>
      </c>
      <c r="BL54" s="88">
        <v>2</v>
      </c>
      <c r="BM54" s="88">
        <v>3</v>
      </c>
      <c r="BN54" s="88">
        <v>2</v>
      </c>
      <c r="BO54" s="88">
        <v>3</v>
      </c>
      <c r="BP54" s="88">
        <v>3</v>
      </c>
      <c r="BQ54" s="96" cm="1">
        <f t="array" ref="BQ54">T_MEASURES[[#This Row],[Apply size]]*(SUMPRODUCT(T_MEASURES[[#This Row],[C1_Urban Cooling]:[C8_Time]],TRANSPOSE('2.WEIGHTS'!$L$12:$L$19))+(ROW(C54)-ROW($C$18)+1)*0.0000000001)*100</f>
        <v>175.00000037000001</v>
      </c>
      <c r="BR54" s="21"/>
      <c r="BS54" s="38"/>
    </row>
    <row r="55" spans="1:71" ht="33.6" x14ac:dyDescent="0.3">
      <c r="A55" s="21"/>
      <c r="B55" s="38"/>
      <c r="C55" s="21"/>
      <c r="D55" s="86">
        <f>IF(T_MEASURES[[#This Row],[Weight Criterion]]&lt;=0,"",_xlfn.RANK.EQ(T_MEASURES[[#This Row],[Weight Criterion]],T_MEASURES[Weight Criterion]))</f>
        <v>91</v>
      </c>
      <c r="E55" s="152" t="s">
        <v>202</v>
      </c>
      <c r="F55" s="151" t="s">
        <v>55</v>
      </c>
      <c r="G55" s="151" t="s">
        <v>44</v>
      </c>
      <c r="H55" s="151" t="s">
        <v>145</v>
      </c>
      <c r="I55" s="151" t="s">
        <v>203</v>
      </c>
      <c r="J55" s="151"/>
      <c r="K55" s="153">
        <v>1</v>
      </c>
      <c r="L55" s="18"/>
      <c r="M55" s="18"/>
      <c r="N55" s="154" t="str">
        <f t="shared" si="2"/>
        <v>€</v>
      </c>
      <c r="O55" s="155">
        <v>1</v>
      </c>
      <c r="P55" s="155"/>
      <c r="Q55" s="19"/>
      <c r="R55" s="155"/>
      <c r="S55" s="72" t="str">
        <f>IF(T_MEASURES[[#This Row],[No risk (0)]]=1,"■","")</f>
        <v>■</v>
      </c>
      <c r="T55" s="73" t="str">
        <f>IF(T_MEASURES[[#This Row],[Low risk (1)]]=1,"■","")</f>
        <v/>
      </c>
      <c r="U55" s="74" t="str">
        <f>IF(T_MEASURES[[#This Row],[Medium risk (2)]]=1,"■","")</f>
        <v/>
      </c>
      <c r="V55" s="71" t="str">
        <f>IF(T_MEASURES[[#This Row],[High risk (3)]]=1,"■","")</f>
        <v/>
      </c>
      <c r="W55" s="18" t="str">
        <f t="shared" si="1"/>
        <v>1. No Risk (Green)</v>
      </c>
      <c r="X55" s="18">
        <f>COUNT(T_MEASURES[[#This Row],[Buildings and public facilities]:[Coordination]])</f>
        <v>4</v>
      </c>
      <c r="Y55" s="18">
        <v>1</v>
      </c>
      <c r="Z55" s="18" t="str">
        <f>IF(T_MEASURES[[#This Row],[Buildings and public facilities]]=1,"Yes","No")</f>
        <v>Yes</v>
      </c>
      <c r="AA55" s="18"/>
      <c r="AB55" s="18" t="str">
        <f>IF(T_MEASURES[[#This Row],[Urban planning]]=1,"Yes","No")</f>
        <v>No</v>
      </c>
      <c r="AC55" s="18">
        <v>1</v>
      </c>
      <c r="AD55" s="18" t="str">
        <f>IF(T_MEASURES[[#This Row],[Culture and Sports]],"Yes","No")</f>
        <v>Yes</v>
      </c>
      <c r="AE55" s="18"/>
      <c r="AF55" s="18" t="str">
        <f>IF(T_MEASURES[[#This Row],[Tourism]],"Yes","No")</f>
        <v>No</v>
      </c>
      <c r="AG55" s="18"/>
      <c r="AH55" s="18" t="str">
        <f>IF(T_MEASURES[[#This Row],[Occupational risks]],"Yes","No")</f>
        <v>No</v>
      </c>
      <c r="AI55" s="18">
        <v>1</v>
      </c>
      <c r="AJ55" s="18" t="str">
        <f>IF(T_MEASURES[[#This Row],[Education]],"Yes","No")</f>
        <v>Yes</v>
      </c>
      <c r="AK55" s="18">
        <v>1</v>
      </c>
      <c r="AL55" s="18" t="str">
        <f>IF(T_MEASURES[[#This Row],[Social Services]],"Yes","No")</f>
        <v>Yes</v>
      </c>
      <c r="AM55" s="18"/>
      <c r="AN55" s="18" t="str">
        <f>IF(T_MEASURES[[#This Row],[Emergency Services and Police]],"Yes","No")</f>
        <v>No</v>
      </c>
      <c r="AO55" s="18"/>
      <c r="AP55" s="18" t="str">
        <f>IF(T_MEASURES[[#This Row],[Parks and gardens (Urban Green Infrastructure)]],"Yes","No")</f>
        <v>No</v>
      </c>
      <c r="AQ55" s="18"/>
      <c r="AR55" s="18" t="str">
        <f>IF(T_MEASURES[[#This Row],[Transport]],"Yes","No")</f>
        <v>No</v>
      </c>
      <c r="AS55" s="158"/>
      <c r="AT55" s="1" t="str">
        <f>IF(T_MEASURES[[#This Row],[Coordination]],"Yes","No")</f>
        <v>No</v>
      </c>
      <c r="AU55" s="2">
        <v>1</v>
      </c>
      <c r="AV55" s="1">
        <v>1</v>
      </c>
      <c r="AW55" s="1">
        <v>1</v>
      </c>
      <c r="AX55" s="1">
        <v>1</v>
      </c>
      <c r="AY55" s="3">
        <v>1</v>
      </c>
      <c r="AZ55" s="86">
        <f>SUMPRODUCT($AT$15:$AX$15,T_MEASURES[[#This Row],[&lt;5.000]:[&gt;100.000]])</f>
        <v>1</v>
      </c>
      <c r="BA55" s="1">
        <v>1</v>
      </c>
      <c r="BB55" s="1">
        <v>1</v>
      </c>
      <c r="BC55" s="1">
        <v>1</v>
      </c>
      <c r="BD55" s="1">
        <v>1</v>
      </c>
      <c r="BE55" s="1">
        <v>1</v>
      </c>
      <c r="BF55" s="1">
        <v>1</v>
      </c>
      <c r="BG55" s="1">
        <v>1</v>
      </c>
      <c r="BH55" s="86" cm="1">
        <f t="array" ref="BH55">SUMPRODUCT(--((T_MEASURES[[#This Row],[Health or social care centers]:[Schools / Educational centers]] + $AZ$15:$BF$15)&gt;0))</f>
        <v>7</v>
      </c>
      <c r="BI55" s="1">
        <v>0</v>
      </c>
      <c r="BJ55" s="1">
        <v>0</v>
      </c>
      <c r="BK55" s="1">
        <v>1</v>
      </c>
      <c r="BL55" s="1">
        <v>2</v>
      </c>
      <c r="BM55" s="1">
        <v>3</v>
      </c>
      <c r="BN55" s="1">
        <v>2</v>
      </c>
      <c r="BO55" s="1">
        <v>3</v>
      </c>
      <c r="BP55" s="1">
        <v>3</v>
      </c>
      <c r="BQ55" s="96" cm="1">
        <f t="array" ref="BQ55">T_MEASURES[[#This Row],[Apply size]]*(SUMPRODUCT(T_MEASURES[[#This Row],[C1_Urban Cooling]:[C8_Time]],TRANSPOSE('2.WEIGHTS'!$L$12:$L$19))+(ROW(C55)-ROW($C$18)+1)*0.0000000001)*100</f>
        <v>175.00000038000002</v>
      </c>
      <c r="BR55" s="21"/>
      <c r="BS55" s="38"/>
    </row>
    <row r="56" spans="1:71" ht="33.6" x14ac:dyDescent="0.3">
      <c r="A56" s="21"/>
      <c r="B56" s="38"/>
      <c r="C56" s="21"/>
      <c r="D56" s="86">
        <f>IF(T_MEASURES[[#This Row],[Weight Criterion]]&lt;=0,"",_xlfn.RANK.EQ(T_MEASURES[[#This Row],[Weight Criterion]],T_MEASURES[Weight Criterion]))</f>
        <v>77</v>
      </c>
      <c r="E56" s="152" t="s">
        <v>204</v>
      </c>
      <c r="F56" s="151" t="s">
        <v>55</v>
      </c>
      <c r="G56" s="151" t="s">
        <v>44</v>
      </c>
      <c r="H56" s="151" t="s">
        <v>145</v>
      </c>
      <c r="I56" s="151" t="s">
        <v>205</v>
      </c>
      <c r="J56" s="151"/>
      <c r="K56" s="153">
        <v>1</v>
      </c>
      <c r="L56" s="18"/>
      <c r="M56" s="18"/>
      <c r="N56" s="154" t="str">
        <f t="shared" si="2"/>
        <v>€</v>
      </c>
      <c r="O56" s="155">
        <v>1</v>
      </c>
      <c r="P56" s="155"/>
      <c r="Q56" s="19"/>
      <c r="R56" s="155"/>
      <c r="S56" s="72" t="str">
        <f>IF(T_MEASURES[[#This Row],[No risk (0)]]=1,"■","")</f>
        <v>■</v>
      </c>
      <c r="T56" s="73" t="str">
        <f>IF(T_MEASURES[[#This Row],[Low risk (1)]]=1,"■","")</f>
        <v/>
      </c>
      <c r="U56" s="74" t="str">
        <f>IF(T_MEASURES[[#This Row],[Medium risk (2)]]=1,"■","")</f>
        <v/>
      </c>
      <c r="V56" s="71" t="str">
        <f>IF(T_MEASURES[[#This Row],[High risk (3)]]=1,"■","")</f>
        <v/>
      </c>
      <c r="W56" s="18" t="str">
        <f t="shared" si="1"/>
        <v>1. No Risk (Green)</v>
      </c>
      <c r="X56" s="18">
        <f>COUNT(T_MEASURES[[#This Row],[Buildings and public facilities]:[Coordination]])</f>
        <v>4</v>
      </c>
      <c r="Y56" s="18">
        <v>1</v>
      </c>
      <c r="Z56" s="18" t="str">
        <f>IF(T_MEASURES[[#This Row],[Buildings and public facilities]]=1,"Yes","No")</f>
        <v>Yes</v>
      </c>
      <c r="AA56" s="18"/>
      <c r="AB56" s="18" t="str">
        <f>IF(T_MEASURES[[#This Row],[Urban planning]]=1,"Yes","No")</f>
        <v>No</v>
      </c>
      <c r="AC56" s="18">
        <v>1</v>
      </c>
      <c r="AD56" s="18" t="str">
        <f>IF(T_MEASURES[[#This Row],[Culture and Sports]],"Yes","No")</f>
        <v>Yes</v>
      </c>
      <c r="AE56" s="18"/>
      <c r="AF56" s="18" t="str">
        <f>IF(T_MEASURES[[#This Row],[Tourism]],"Yes","No")</f>
        <v>No</v>
      </c>
      <c r="AG56" s="18"/>
      <c r="AH56" s="18" t="str">
        <f>IF(T_MEASURES[[#This Row],[Occupational risks]],"Yes","No")</f>
        <v>No</v>
      </c>
      <c r="AI56" s="18">
        <v>1</v>
      </c>
      <c r="AJ56" s="18" t="str">
        <f>IF(T_MEASURES[[#This Row],[Education]],"Yes","No")</f>
        <v>Yes</v>
      </c>
      <c r="AK56" s="18">
        <v>1</v>
      </c>
      <c r="AL56" s="18" t="str">
        <f>IF(T_MEASURES[[#This Row],[Social Services]],"Yes","No")</f>
        <v>Yes</v>
      </c>
      <c r="AM56" s="18"/>
      <c r="AN56" s="18" t="str">
        <f>IF(T_MEASURES[[#This Row],[Emergency Services and Police]],"Yes","No")</f>
        <v>No</v>
      </c>
      <c r="AO56" s="18"/>
      <c r="AP56" s="18" t="str">
        <f>IF(T_MEASURES[[#This Row],[Parks and gardens (Urban Green Infrastructure)]],"Yes","No")</f>
        <v>No</v>
      </c>
      <c r="AQ56" s="18"/>
      <c r="AR56" s="18" t="str">
        <f>IF(T_MEASURES[[#This Row],[Transport]],"Yes","No")</f>
        <v>No</v>
      </c>
      <c r="AS56" s="158"/>
      <c r="AT56" s="1" t="str">
        <f>IF(T_MEASURES[[#This Row],[Coordination]],"Yes","No")</f>
        <v>No</v>
      </c>
      <c r="AU56" s="2">
        <v>1</v>
      </c>
      <c r="AV56" s="1">
        <v>1</v>
      </c>
      <c r="AW56" s="1">
        <v>1</v>
      </c>
      <c r="AX56" s="1">
        <v>1</v>
      </c>
      <c r="AY56" s="3">
        <v>1</v>
      </c>
      <c r="AZ56" s="86">
        <f>SUMPRODUCT($AT$15:$AX$15,T_MEASURES[[#This Row],[&lt;5.000]:[&gt;100.000]])</f>
        <v>1</v>
      </c>
      <c r="BA56" s="1">
        <v>1</v>
      </c>
      <c r="BB56" s="1">
        <v>1</v>
      </c>
      <c r="BC56" s="1">
        <v>1</v>
      </c>
      <c r="BD56" s="1">
        <v>1</v>
      </c>
      <c r="BE56" s="1">
        <v>1</v>
      </c>
      <c r="BF56" s="1">
        <v>1</v>
      </c>
      <c r="BG56" s="1">
        <v>1</v>
      </c>
      <c r="BH56" s="86" cm="1">
        <f t="array" ref="BH56">SUMPRODUCT(--((T_MEASURES[[#This Row],[Health or social care centers]:[Schools / Educational centers]] + $AZ$15:$BF$15)&gt;0))</f>
        <v>7</v>
      </c>
      <c r="BI56" s="88">
        <v>0</v>
      </c>
      <c r="BJ56" s="88">
        <v>0</v>
      </c>
      <c r="BK56" s="88">
        <v>2</v>
      </c>
      <c r="BL56" s="88">
        <v>2</v>
      </c>
      <c r="BM56" s="88">
        <v>3</v>
      </c>
      <c r="BN56" s="88">
        <v>2</v>
      </c>
      <c r="BO56" s="88">
        <v>3</v>
      </c>
      <c r="BP56" s="88">
        <v>3</v>
      </c>
      <c r="BQ56" s="96" cm="1">
        <f t="array" ref="BQ56">T_MEASURES[[#This Row],[Apply size]]*(SUMPRODUCT(T_MEASURES[[#This Row],[C1_Urban Cooling]:[C8_Time]],TRANSPOSE('2.WEIGHTS'!$L$12:$L$19))+(ROW(C56)-ROW($C$18)+1)*0.0000000001)*100</f>
        <v>187.50000039</v>
      </c>
      <c r="BR56" s="21"/>
      <c r="BS56" s="38"/>
    </row>
    <row r="57" spans="1:71" ht="33.6" x14ac:dyDescent="0.3">
      <c r="A57" s="21"/>
      <c r="B57" s="38"/>
      <c r="C57" s="21"/>
      <c r="D57" s="86">
        <f>IF(T_MEASURES[[#This Row],[Weight Criterion]]&lt;=0,"",_xlfn.RANK.EQ(T_MEASURES[[#This Row],[Weight Criterion]],T_MEASURES[Weight Criterion]))</f>
        <v>115</v>
      </c>
      <c r="E57" s="152" t="s">
        <v>206</v>
      </c>
      <c r="F57" s="151" t="s">
        <v>55</v>
      </c>
      <c r="G57" s="151" t="s">
        <v>44</v>
      </c>
      <c r="H57" s="151" t="s">
        <v>145</v>
      </c>
      <c r="I57" s="151" t="s">
        <v>207</v>
      </c>
      <c r="J57" s="151"/>
      <c r="K57" s="153">
        <v>1</v>
      </c>
      <c r="L57" s="18"/>
      <c r="M57" s="18"/>
      <c r="N57" s="154" t="str">
        <f t="shared" si="2"/>
        <v>€</v>
      </c>
      <c r="O57" s="155">
        <v>1</v>
      </c>
      <c r="P57" s="155"/>
      <c r="Q57" s="19"/>
      <c r="R57" s="155"/>
      <c r="S57" s="72" t="str">
        <f>IF(T_MEASURES[[#This Row],[No risk (0)]]=1,"■","")</f>
        <v>■</v>
      </c>
      <c r="T57" s="73" t="str">
        <f>IF(T_MEASURES[[#This Row],[Low risk (1)]]=1,"■","")</f>
        <v/>
      </c>
      <c r="U57" s="74" t="str">
        <f>IF(T_MEASURES[[#This Row],[Medium risk (2)]]=1,"■","")</f>
        <v/>
      </c>
      <c r="V57" s="71" t="str">
        <f>IF(T_MEASURES[[#This Row],[High risk (3)]]=1,"■","")</f>
        <v/>
      </c>
      <c r="W57" s="18" t="str">
        <f t="shared" si="1"/>
        <v>1. No Risk (Green)</v>
      </c>
      <c r="X57" s="18">
        <f>COUNT(T_MEASURES[[#This Row],[Buildings and public facilities]:[Coordination]])</f>
        <v>1</v>
      </c>
      <c r="Y57" s="18"/>
      <c r="Z57" s="18" t="str">
        <f>IF(T_MEASURES[[#This Row],[Buildings and public facilities]]=1,"Yes","No")</f>
        <v>No</v>
      </c>
      <c r="AA57" s="18"/>
      <c r="AB57" s="18" t="str">
        <f>IF(T_MEASURES[[#This Row],[Urban planning]]=1,"Yes","No")</f>
        <v>No</v>
      </c>
      <c r="AC57" s="18"/>
      <c r="AD57" s="18" t="str">
        <f>IF(T_MEASURES[[#This Row],[Culture and Sports]],"Yes","No")</f>
        <v>No</v>
      </c>
      <c r="AE57" s="18"/>
      <c r="AF57" s="18" t="str">
        <f>IF(T_MEASURES[[#This Row],[Tourism]],"Yes","No")</f>
        <v>No</v>
      </c>
      <c r="AG57" s="18"/>
      <c r="AH57" s="18" t="str">
        <f>IF(T_MEASURES[[#This Row],[Occupational risks]],"Yes","No")</f>
        <v>No</v>
      </c>
      <c r="AI57" s="18"/>
      <c r="AJ57" s="18" t="str">
        <f>IF(T_MEASURES[[#This Row],[Education]],"Yes","No")</f>
        <v>No</v>
      </c>
      <c r="AK57" s="18"/>
      <c r="AL57" s="18" t="str">
        <f>IF(T_MEASURES[[#This Row],[Social Services]],"Yes","No")</f>
        <v>No</v>
      </c>
      <c r="AM57" s="18"/>
      <c r="AN57" s="18" t="str">
        <f>IF(T_MEASURES[[#This Row],[Emergency Services and Police]],"Yes","No")</f>
        <v>No</v>
      </c>
      <c r="AO57" s="18"/>
      <c r="AP57" s="18" t="str">
        <f>IF(T_MEASURES[[#This Row],[Parks and gardens (Urban Green Infrastructure)]],"Yes","No")</f>
        <v>No</v>
      </c>
      <c r="AQ57" s="18"/>
      <c r="AR57" s="18" t="str">
        <f>IF(T_MEASURES[[#This Row],[Transport]],"Yes","No")</f>
        <v>No</v>
      </c>
      <c r="AS57" s="158">
        <v>1</v>
      </c>
      <c r="AT57" s="1" t="str">
        <f>IF(T_MEASURES[[#This Row],[Coordination]],"Yes","No")</f>
        <v>Yes</v>
      </c>
      <c r="AU57" s="2">
        <v>1</v>
      </c>
      <c r="AV57" s="1">
        <v>1</v>
      </c>
      <c r="AW57" s="1">
        <v>1</v>
      </c>
      <c r="AX57" s="1">
        <v>1</v>
      </c>
      <c r="AY57" s="3">
        <v>1</v>
      </c>
      <c r="AZ57" s="86">
        <f>SUMPRODUCT($AT$15:$AX$15,T_MEASURES[[#This Row],[&lt;5.000]:[&gt;100.000]])</f>
        <v>1</v>
      </c>
      <c r="BA57" s="1">
        <v>1</v>
      </c>
      <c r="BB57" s="1">
        <v>1</v>
      </c>
      <c r="BC57" s="1">
        <v>1</v>
      </c>
      <c r="BD57" s="1">
        <v>1</v>
      </c>
      <c r="BE57" s="1">
        <v>1</v>
      </c>
      <c r="BF57" s="1">
        <v>1</v>
      </c>
      <c r="BG57" s="1">
        <v>1</v>
      </c>
      <c r="BH57" s="86" cm="1">
        <f t="array" ref="BH57">SUMPRODUCT(--((T_MEASURES[[#This Row],[Health or social care centers]:[Schools / Educational centers]] + $AZ$15:$BF$15)&gt;0))</f>
        <v>7</v>
      </c>
      <c r="BI57" s="1">
        <v>0</v>
      </c>
      <c r="BJ57" s="1">
        <v>0</v>
      </c>
      <c r="BK57" s="1">
        <v>1</v>
      </c>
      <c r="BL57" s="1">
        <v>1</v>
      </c>
      <c r="BM57" s="1">
        <v>3</v>
      </c>
      <c r="BN57" s="1">
        <v>2</v>
      </c>
      <c r="BO57" s="1">
        <v>3</v>
      </c>
      <c r="BP57" s="1">
        <v>3</v>
      </c>
      <c r="BQ57" s="96" cm="1">
        <f t="array" ref="BQ57">T_MEASURES[[#This Row],[Apply size]]*(SUMPRODUCT(T_MEASURES[[#This Row],[C1_Urban Cooling]:[C8_Time]],TRANSPOSE('2.WEIGHTS'!$L$12:$L$19))+(ROW(C57)-ROW($C$18)+1)*0.0000000001)*100</f>
        <v>162.5000004</v>
      </c>
      <c r="BR57" s="21"/>
      <c r="BS57" s="38"/>
    </row>
    <row r="58" spans="1:71" ht="72" x14ac:dyDescent="0.3">
      <c r="A58" s="21"/>
      <c r="B58" s="38"/>
      <c r="C58" s="21"/>
      <c r="D58" s="86">
        <f>IF(T_MEASURES[[#This Row],[Weight Criterion]]&lt;=0,"",_xlfn.RANK.EQ(T_MEASURES[[#This Row],[Weight Criterion]],T_MEASURES[Weight Criterion]))</f>
        <v>131</v>
      </c>
      <c r="E58" s="152" t="s">
        <v>208</v>
      </c>
      <c r="F58" s="151" t="s">
        <v>55</v>
      </c>
      <c r="G58" s="151" t="s">
        <v>41</v>
      </c>
      <c r="H58" s="151" t="s">
        <v>132</v>
      </c>
      <c r="I58" s="151" t="s">
        <v>209</v>
      </c>
      <c r="J58" s="151"/>
      <c r="K58" s="153">
        <v>1</v>
      </c>
      <c r="L58" s="18"/>
      <c r="M58" s="18"/>
      <c r="N58" s="154" t="str">
        <f t="shared" si="2"/>
        <v>€</v>
      </c>
      <c r="O58" s="155">
        <v>1</v>
      </c>
      <c r="P58" s="155"/>
      <c r="Q58" s="19"/>
      <c r="R58" s="155"/>
      <c r="S58" s="72" t="str">
        <f>IF(T_MEASURES[[#This Row],[No risk (0)]]=1,"■","")</f>
        <v>■</v>
      </c>
      <c r="T58" s="73" t="str">
        <f>IF(T_MEASURES[[#This Row],[Low risk (1)]]=1,"■","")</f>
        <v/>
      </c>
      <c r="U58" s="74" t="str">
        <f>IF(T_MEASURES[[#This Row],[Medium risk (2)]]=1,"■","")</f>
        <v/>
      </c>
      <c r="V58" s="71" t="str">
        <f>IF(T_MEASURES[[#This Row],[High risk (3)]]=1,"■","")</f>
        <v/>
      </c>
      <c r="W58" s="18" t="str">
        <f t="shared" si="1"/>
        <v>1. No Risk (Green)</v>
      </c>
      <c r="X58" s="18">
        <f>COUNT(T_MEASURES[[#This Row],[Buildings and public facilities]:[Coordination]])</f>
        <v>4</v>
      </c>
      <c r="Y58" s="18">
        <v>1</v>
      </c>
      <c r="Z58" s="18" t="str">
        <f>IF(T_MEASURES[[#This Row],[Buildings and public facilities]]=1,"Yes","No")</f>
        <v>Yes</v>
      </c>
      <c r="AA58" s="18"/>
      <c r="AB58" s="18" t="str">
        <f>IF(T_MEASURES[[#This Row],[Urban planning]]=1,"Yes","No")</f>
        <v>No</v>
      </c>
      <c r="AC58" s="18">
        <v>1</v>
      </c>
      <c r="AD58" s="18" t="str">
        <f>IF(T_MEASURES[[#This Row],[Culture and Sports]],"Yes","No")</f>
        <v>Yes</v>
      </c>
      <c r="AE58" s="18"/>
      <c r="AF58" s="18" t="str">
        <f>IF(T_MEASURES[[#This Row],[Tourism]],"Yes","No")</f>
        <v>No</v>
      </c>
      <c r="AG58" s="18"/>
      <c r="AH58" s="18" t="str">
        <f>IF(T_MEASURES[[#This Row],[Occupational risks]],"Yes","No")</f>
        <v>No</v>
      </c>
      <c r="AI58" s="18">
        <v>1</v>
      </c>
      <c r="AJ58" s="18" t="str">
        <f>IF(T_MEASURES[[#This Row],[Education]],"Yes","No")</f>
        <v>Yes</v>
      </c>
      <c r="AK58" s="18">
        <v>1</v>
      </c>
      <c r="AL58" s="18" t="str">
        <f>IF(T_MEASURES[[#This Row],[Social Services]],"Yes","No")</f>
        <v>Yes</v>
      </c>
      <c r="AM58" s="18"/>
      <c r="AN58" s="18" t="str">
        <f>IF(T_MEASURES[[#This Row],[Emergency Services and Police]],"Yes","No")</f>
        <v>No</v>
      </c>
      <c r="AO58" s="18"/>
      <c r="AP58" s="18" t="str">
        <f>IF(T_MEASURES[[#This Row],[Parks and gardens (Urban Green Infrastructure)]],"Yes","No")</f>
        <v>No</v>
      </c>
      <c r="AQ58" s="18"/>
      <c r="AR58" s="18" t="str">
        <f>IF(T_MEASURES[[#This Row],[Transport]],"Yes","No")</f>
        <v>No</v>
      </c>
      <c r="AS58" s="158"/>
      <c r="AT58" s="1" t="str">
        <f>IF(T_MEASURES[[#This Row],[Coordination]],"Yes","No")</f>
        <v>No</v>
      </c>
      <c r="AU58" s="2">
        <v>1</v>
      </c>
      <c r="AV58" s="1">
        <v>1</v>
      </c>
      <c r="AW58" s="1">
        <v>1</v>
      </c>
      <c r="AX58" s="1">
        <v>1</v>
      </c>
      <c r="AY58" s="3">
        <v>1</v>
      </c>
      <c r="AZ58" s="86">
        <f>SUMPRODUCT($AT$15:$AX$15,T_MEASURES[[#This Row],[&lt;5.000]:[&gt;100.000]])</f>
        <v>1</v>
      </c>
      <c r="BA58" s="1">
        <v>1</v>
      </c>
      <c r="BB58" s="1">
        <v>1</v>
      </c>
      <c r="BC58" s="1">
        <v>1</v>
      </c>
      <c r="BD58" s="1">
        <v>1</v>
      </c>
      <c r="BE58" s="1">
        <v>1</v>
      </c>
      <c r="BF58" s="1">
        <v>1</v>
      </c>
      <c r="BG58" s="1">
        <v>1</v>
      </c>
      <c r="BH58" s="86" cm="1">
        <f t="array" ref="BH58">SUMPRODUCT(--((T_MEASURES[[#This Row],[Health or social care centers]:[Schools / Educational centers]] + $AZ$15:$BF$15)&gt;0))</f>
        <v>7</v>
      </c>
      <c r="BI58" s="88">
        <v>0</v>
      </c>
      <c r="BJ58" s="88">
        <v>0</v>
      </c>
      <c r="BK58" s="88">
        <v>2</v>
      </c>
      <c r="BL58" s="88">
        <v>2</v>
      </c>
      <c r="BM58" s="88">
        <v>2</v>
      </c>
      <c r="BN58" s="88">
        <v>1</v>
      </c>
      <c r="BO58" s="88">
        <v>2</v>
      </c>
      <c r="BP58" s="88">
        <v>2</v>
      </c>
      <c r="BQ58" s="96" cm="1">
        <f t="array" ref="BQ58">T_MEASURES[[#This Row],[Apply size]]*(SUMPRODUCT(T_MEASURES[[#This Row],[C1_Urban Cooling]:[C8_Time]],TRANSPOSE('2.WEIGHTS'!$L$12:$L$19))+(ROW(C58)-ROW($C$18)+1)*0.0000000001)*100</f>
        <v>137.50000040999998</v>
      </c>
      <c r="BR58" s="21"/>
      <c r="BS58" s="38"/>
    </row>
    <row r="59" spans="1:71" ht="33.6" x14ac:dyDescent="0.3">
      <c r="A59" s="21"/>
      <c r="B59" s="38"/>
      <c r="C59" s="21"/>
      <c r="D59" s="86">
        <f>IF(T_MEASURES[[#This Row],[Weight Criterion]]&lt;=0,"",_xlfn.RANK.EQ(T_MEASURES[[#This Row],[Weight Criterion]],T_MEASURES[Weight Criterion]))</f>
        <v>130</v>
      </c>
      <c r="E59" s="152" t="s">
        <v>210</v>
      </c>
      <c r="F59" s="151" t="s">
        <v>55</v>
      </c>
      <c r="G59" s="151" t="s">
        <v>41</v>
      </c>
      <c r="H59" s="151" t="s">
        <v>132</v>
      </c>
      <c r="I59" s="151" t="s">
        <v>211</v>
      </c>
      <c r="J59" s="151"/>
      <c r="K59" s="153">
        <v>1</v>
      </c>
      <c r="L59" s="18"/>
      <c r="M59" s="18"/>
      <c r="N59" s="154" t="str">
        <f t="shared" si="2"/>
        <v>€</v>
      </c>
      <c r="O59" s="155">
        <v>1</v>
      </c>
      <c r="P59" s="155"/>
      <c r="Q59" s="19"/>
      <c r="R59" s="155"/>
      <c r="S59" s="72" t="str">
        <f>IF(T_MEASURES[[#This Row],[No risk (0)]]=1,"■","")</f>
        <v>■</v>
      </c>
      <c r="T59" s="73" t="str">
        <f>IF(T_MEASURES[[#This Row],[Low risk (1)]]=1,"■","")</f>
        <v/>
      </c>
      <c r="U59" s="74" t="str">
        <f>IF(T_MEASURES[[#This Row],[Medium risk (2)]]=1,"■","")</f>
        <v/>
      </c>
      <c r="V59" s="71" t="str">
        <f>IF(T_MEASURES[[#This Row],[High risk (3)]]=1,"■","")</f>
        <v/>
      </c>
      <c r="W59" s="18" t="str">
        <f t="shared" si="1"/>
        <v>1. No Risk (Green)</v>
      </c>
      <c r="X59" s="18">
        <f>COUNT(T_MEASURES[[#This Row],[Buildings and public facilities]:[Coordination]])</f>
        <v>2</v>
      </c>
      <c r="Y59" s="18">
        <v>1</v>
      </c>
      <c r="Z59" s="18" t="str">
        <f>IF(T_MEASURES[[#This Row],[Buildings and public facilities]]=1,"Yes","No")</f>
        <v>Yes</v>
      </c>
      <c r="AA59" s="18"/>
      <c r="AB59" s="18" t="str">
        <f>IF(T_MEASURES[[#This Row],[Urban planning]]=1,"Yes","No")</f>
        <v>No</v>
      </c>
      <c r="AC59" s="18"/>
      <c r="AD59" s="18" t="str">
        <f>IF(T_MEASURES[[#This Row],[Culture and Sports]],"Yes","No")</f>
        <v>No</v>
      </c>
      <c r="AE59" s="18">
        <v>1</v>
      </c>
      <c r="AF59" s="18" t="str">
        <f>IF(T_MEASURES[[#This Row],[Tourism]],"Yes","No")</f>
        <v>Yes</v>
      </c>
      <c r="AG59" s="18"/>
      <c r="AH59" s="18" t="str">
        <f>IF(T_MEASURES[[#This Row],[Occupational risks]],"Yes","No")</f>
        <v>No</v>
      </c>
      <c r="AI59" s="18"/>
      <c r="AJ59" s="18" t="str">
        <f>IF(T_MEASURES[[#This Row],[Education]],"Yes","No")</f>
        <v>No</v>
      </c>
      <c r="AK59" s="18"/>
      <c r="AL59" s="18" t="str">
        <f>IF(T_MEASURES[[#This Row],[Social Services]],"Yes","No")</f>
        <v>No</v>
      </c>
      <c r="AM59" s="18"/>
      <c r="AN59" s="18" t="str">
        <f>IF(T_MEASURES[[#This Row],[Emergency Services and Police]],"Yes","No")</f>
        <v>No</v>
      </c>
      <c r="AO59" s="18"/>
      <c r="AP59" s="18" t="str">
        <f>IF(T_MEASURES[[#This Row],[Parks and gardens (Urban Green Infrastructure)]],"Yes","No")</f>
        <v>No</v>
      </c>
      <c r="AQ59" s="18"/>
      <c r="AR59" s="18" t="str">
        <f>IF(T_MEASURES[[#This Row],[Transport]],"Yes","No")</f>
        <v>No</v>
      </c>
      <c r="AS59" s="158"/>
      <c r="AT59" s="1" t="str">
        <f>IF(T_MEASURES[[#This Row],[Coordination]],"Yes","No")</f>
        <v>No</v>
      </c>
      <c r="AU59" s="2">
        <v>1</v>
      </c>
      <c r="AV59" s="1">
        <v>1</v>
      </c>
      <c r="AW59" s="1">
        <v>1</v>
      </c>
      <c r="AX59" s="1">
        <v>1</v>
      </c>
      <c r="AY59" s="3">
        <v>1</v>
      </c>
      <c r="AZ59" s="86">
        <f>SUMPRODUCT($AT$15:$AX$15,T_MEASURES[[#This Row],[&lt;5.000]:[&gt;100.000]])</f>
        <v>1</v>
      </c>
      <c r="BA59" s="1">
        <v>1</v>
      </c>
      <c r="BB59" s="1">
        <v>1</v>
      </c>
      <c r="BC59" s="1">
        <v>1</v>
      </c>
      <c r="BD59" s="1">
        <v>1</v>
      </c>
      <c r="BE59" s="1">
        <v>1</v>
      </c>
      <c r="BF59" s="1">
        <v>1</v>
      </c>
      <c r="BG59" s="1">
        <v>1</v>
      </c>
      <c r="BH59" s="86" cm="1">
        <f t="array" ref="BH59">SUMPRODUCT(--((T_MEASURES[[#This Row],[Health or social care centers]:[Schools / Educational centers]] + $AZ$15:$BF$15)&gt;0))</f>
        <v>7</v>
      </c>
      <c r="BI59" s="1">
        <v>2</v>
      </c>
      <c r="BJ59" s="1">
        <v>1</v>
      </c>
      <c r="BK59" s="1">
        <v>0</v>
      </c>
      <c r="BL59" s="1">
        <v>2</v>
      </c>
      <c r="BM59" s="1">
        <v>1</v>
      </c>
      <c r="BN59" s="1">
        <v>1</v>
      </c>
      <c r="BO59" s="1">
        <v>2</v>
      </c>
      <c r="BP59" s="1">
        <v>2</v>
      </c>
      <c r="BQ59" s="96" cm="1">
        <f t="array" ref="BQ59">T_MEASURES[[#This Row],[Apply size]]*(SUMPRODUCT(T_MEASURES[[#This Row],[C1_Urban Cooling]:[C8_Time]],TRANSPOSE('2.WEIGHTS'!$L$12:$L$19))+(ROW(C59)-ROW($C$18)+1)*0.0000000001)*100</f>
        <v>137.50000041999999</v>
      </c>
      <c r="BR59" s="21"/>
      <c r="BS59" s="38"/>
    </row>
    <row r="60" spans="1:71" ht="33.6" x14ac:dyDescent="0.3">
      <c r="A60" s="21"/>
      <c r="B60" s="38"/>
      <c r="C60" s="21"/>
      <c r="D60" s="86">
        <f>IF(T_MEASURES[[#This Row],[Weight Criterion]]&lt;=0,"",_xlfn.RANK.EQ(T_MEASURES[[#This Row],[Weight Criterion]],T_MEASURES[Weight Criterion]))</f>
        <v>114</v>
      </c>
      <c r="E60" s="152" t="s">
        <v>212</v>
      </c>
      <c r="F60" s="151" t="s">
        <v>55</v>
      </c>
      <c r="G60" s="151" t="s">
        <v>44</v>
      </c>
      <c r="H60" s="151" t="s">
        <v>145</v>
      </c>
      <c r="I60" s="151" t="s">
        <v>213</v>
      </c>
      <c r="J60" s="151"/>
      <c r="K60" s="153">
        <v>1</v>
      </c>
      <c r="L60" s="18"/>
      <c r="M60" s="18"/>
      <c r="N60" s="154" t="str">
        <f t="shared" si="2"/>
        <v>€</v>
      </c>
      <c r="O60" s="155">
        <v>1</v>
      </c>
      <c r="P60" s="155"/>
      <c r="Q60" s="19"/>
      <c r="R60" s="155"/>
      <c r="S60" s="72" t="str">
        <f>IF(T_MEASURES[[#This Row],[No risk (0)]]=1,"■","")</f>
        <v>■</v>
      </c>
      <c r="T60" s="73" t="str">
        <f>IF(T_MEASURES[[#This Row],[Low risk (1)]]=1,"■","")</f>
        <v/>
      </c>
      <c r="U60" s="74" t="str">
        <f>IF(T_MEASURES[[#This Row],[Medium risk (2)]]=1,"■","")</f>
        <v/>
      </c>
      <c r="V60" s="71" t="str">
        <f>IF(T_MEASURES[[#This Row],[High risk (3)]]=1,"■","")</f>
        <v/>
      </c>
      <c r="W60" s="18" t="str">
        <f t="shared" si="1"/>
        <v>1. No Risk (Green)</v>
      </c>
      <c r="X60" s="18">
        <f>COUNT(T_MEASURES[[#This Row],[Buildings and public facilities]:[Coordination]])</f>
        <v>2</v>
      </c>
      <c r="Y60" s="18"/>
      <c r="Z60" s="18" t="str">
        <f>IF(T_MEASURES[[#This Row],[Buildings and public facilities]]=1,"Yes","No")</f>
        <v>No</v>
      </c>
      <c r="AA60" s="18"/>
      <c r="AB60" s="18" t="str">
        <f>IF(T_MEASURES[[#This Row],[Urban planning]]=1,"Yes","No")</f>
        <v>No</v>
      </c>
      <c r="AC60" s="18">
        <v>1</v>
      </c>
      <c r="AD60" s="18" t="str">
        <f>IF(T_MEASURES[[#This Row],[Culture and Sports]],"Yes","No")</f>
        <v>Yes</v>
      </c>
      <c r="AE60" s="18"/>
      <c r="AF60" s="18" t="str">
        <f>IF(T_MEASURES[[#This Row],[Tourism]],"Yes","No")</f>
        <v>No</v>
      </c>
      <c r="AG60" s="18"/>
      <c r="AH60" s="18" t="str">
        <f>IF(T_MEASURES[[#This Row],[Occupational risks]],"Yes","No")</f>
        <v>No</v>
      </c>
      <c r="AI60" s="18"/>
      <c r="AJ60" s="18" t="str">
        <f>IF(T_MEASURES[[#This Row],[Education]],"Yes","No")</f>
        <v>No</v>
      </c>
      <c r="AK60" s="18"/>
      <c r="AL60" s="18" t="str">
        <f>IF(T_MEASURES[[#This Row],[Social Services]],"Yes","No")</f>
        <v>No</v>
      </c>
      <c r="AM60" s="18"/>
      <c r="AN60" s="18" t="str">
        <f>IF(T_MEASURES[[#This Row],[Emergency Services and Police]],"Yes","No")</f>
        <v>No</v>
      </c>
      <c r="AO60" s="18"/>
      <c r="AP60" s="18" t="str">
        <f>IF(T_MEASURES[[#This Row],[Parks and gardens (Urban Green Infrastructure)]],"Yes","No")</f>
        <v>No</v>
      </c>
      <c r="AQ60" s="18"/>
      <c r="AR60" s="18" t="str">
        <f>IF(T_MEASURES[[#This Row],[Transport]],"Yes","No")</f>
        <v>No</v>
      </c>
      <c r="AS60" s="158">
        <v>1</v>
      </c>
      <c r="AT60" s="1" t="str">
        <f>IF(T_MEASURES[[#This Row],[Coordination]],"Yes","No")</f>
        <v>Yes</v>
      </c>
      <c r="AU60" s="2">
        <v>1</v>
      </c>
      <c r="AV60" s="1">
        <v>1</v>
      </c>
      <c r="AW60" s="1">
        <v>1</v>
      </c>
      <c r="AX60" s="1">
        <v>1</v>
      </c>
      <c r="AY60" s="3">
        <v>1</v>
      </c>
      <c r="AZ60" s="86">
        <f>SUMPRODUCT($AT$15:$AX$15,T_MEASURES[[#This Row],[&lt;5.000]:[&gt;100.000]])</f>
        <v>1</v>
      </c>
      <c r="BA60" s="1">
        <v>1</v>
      </c>
      <c r="BB60" s="1">
        <v>1</v>
      </c>
      <c r="BC60" s="1">
        <v>1</v>
      </c>
      <c r="BD60" s="1">
        <v>1</v>
      </c>
      <c r="BE60" s="1">
        <v>1</v>
      </c>
      <c r="BF60" s="1">
        <v>1</v>
      </c>
      <c r="BG60" s="1">
        <v>1</v>
      </c>
      <c r="BH60" s="86" cm="1">
        <f t="array" ref="BH60">SUMPRODUCT(--((T_MEASURES[[#This Row],[Health or social care centers]:[Schools / Educational centers]] + $AZ$15:$BF$15)&gt;0))</f>
        <v>7</v>
      </c>
      <c r="BI60" s="88">
        <v>0</v>
      </c>
      <c r="BJ60" s="88">
        <v>0</v>
      </c>
      <c r="BK60" s="88">
        <v>0</v>
      </c>
      <c r="BL60" s="88">
        <v>2</v>
      </c>
      <c r="BM60" s="88">
        <v>3</v>
      </c>
      <c r="BN60" s="88">
        <v>2</v>
      </c>
      <c r="BO60" s="88">
        <v>3</v>
      </c>
      <c r="BP60" s="88">
        <v>3</v>
      </c>
      <c r="BQ60" s="96" cm="1">
        <f t="array" ref="BQ60">T_MEASURES[[#This Row],[Apply size]]*(SUMPRODUCT(T_MEASURES[[#This Row],[C1_Urban Cooling]:[C8_Time]],TRANSPOSE('2.WEIGHTS'!$L$12:$L$19))+(ROW(C60)-ROW($C$18)+1)*0.0000000001)*100</f>
        <v>162.50000043</v>
      </c>
      <c r="BR60" s="21"/>
      <c r="BS60" s="38"/>
    </row>
    <row r="61" spans="1:71" ht="33.6" x14ac:dyDescent="0.3">
      <c r="A61" s="21"/>
      <c r="B61" s="38"/>
      <c r="C61" s="21"/>
      <c r="D61" s="86">
        <f>IF(T_MEASURES[[#This Row],[Weight Criterion]]&lt;=0,"",_xlfn.RANK.EQ(T_MEASURES[[#This Row],[Weight Criterion]],T_MEASURES[Weight Criterion]))</f>
        <v>113</v>
      </c>
      <c r="E61" s="152" t="s">
        <v>214</v>
      </c>
      <c r="F61" s="151" t="s">
        <v>55</v>
      </c>
      <c r="G61" s="151" t="s">
        <v>44</v>
      </c>
      <c r="H61" s="151" t="s">
        <v>145</v>
      </c>
      <c r="I61" s="151" t="s">
        <v>215</v>
      </c>
      <c r="J61" s="151"/>
      <c r="K61" s="153">
        <v>1</v>
      </c>
      <c r="L61" s="18"/>
      <c r="M61" s="18"/>
      <c r="N61" s="154" t="str">
        <f t="shared" si="2"/>
        <v>€</v>
      </c>
      <c r="O61" s="155">
        <v>1</v>
      </c>
      <c r="P61" s="155"/>
      <c r="Q61" s="19"/>
      <c r="R61" s="155"/>
      <c r="S61" s="72" t="str">
        <f>IF(T_MEASURES[[#This Row],[No risk (0)]]=1,"■","")</f>
        <v>■</v>
      </c>
      <c r="T61" s="73" t="str">
        <f>IF(T_MEASURES[[#This Row],[Low risk (1)]]=1,"■","")</f>
        <v/>
      </c>
      <c r="U61" s="74" t="str">
        <f>IF(T_MEASURES[[#This Row],[Medium risk (2)]]=1,"■","")</f>
        <v/>
      </c>
      <c r="V61" s="71" t="str">
        <f>IF(T_MEASURES[[#This Row],[High risk (3)]]=1,"■","")</f>
        <v/>
      </c>
      <c r="W61" s="18" t="str">
        <f t="shared" si="1"/>
        <v>1. No Risk (Green)</v>
      </c>
      <c r="X61" s="18">
        <f>COUNT(T_MEASURES[[#This Row],[Buildings and public facilities]:[Coordination]])</f>
        <v>2</v>
      </c>
      <c r="Y61" s="18"/>
      <c r="Z61" s="18" t="str">
        <f>IF(T_MEASURES[[#This Row],[Buildings and public facilities]]=1,"Yes","No")</f>
        <v>No</v>
      </c>
      <c r="AA61" s="18"/>
      <c r="AB61" s="18" t="str">
        <f>IF(T_MEASURES[[#This Row],[Urban planning]]=1,"Yes","No")</f>
        <v>No</v>
      </c>
      <c r="AC61" s="18">
        <v>1</v>
      </c>
      <c r="AD61" s="18" t="str">
        <f>IF(T_MEASURES[[#This Row],[Culture and Sports]],"Yes","No")</f>
        <v>Yes</v>
      </c>
      <c r="AE61" s="18"/>
      <c r="AF61" s="18" t="str">
        <f>IF(T_MEASURES[[#This Row],[Tourism]],"Yes","No")</f>
        <v>No</v>
      </c>
      <c r="AG61" s="18"/>
      <c r="AH61" s="18" t="str">
        <f>IF(T_MEASURES[[#This Row],[Occupational risks]],"Yes","No")</f>
        <v>No</v>
      </c>
      <c r="AI61" s="18"/>
      <c r="AJ61" s="18" t="str">
        <f>IF(T_MEASURES[[#This Row],[Education]],"Yes","No")</f>
        <v>No</v>
      </c>
      <c r="AK61" s="18"/>
      <c r="AL61" s="18" t="str">
        <f>IF(T_MEASURES[[#This Row],[Social Services]],"Yes","No")</f>
        <v>No</v>
      </c>
      <c r="AM61" s="18"/>
      <c r="AN61" s="18" t="str">
        <f>IF(T_MEASURES[[#This Row],[Emergency Services and Police]],"Yes","No")</f>
        <v>No</v>
      </c>
      <c r="AO61" s="18"/>
      <c r="AP61" s="18" t="str">
        <f>IF(T_MEASURES[[#This Row],[Parks and gardens (Urban Green Infrastructure)]],"Yes","No")</f>
        <v>No</v>
      </c>
      <c r="AQ61" s="18"/>
      <c r="AR61" s="18" t="str">
        <f>IF(T_MEASURES[[#This Row],[Transport]],"Yes","No")</f>
        <v>No</v>
      </c>
      <c r="AS61" s="158">
        <v>1</v>
      </c>
      <c r="AT61" s="1" t="str">
        <f>IF(T_MEASURES[[#This Row],[Coordination]],"Yes","No")</f>
        <v>Yes</v>
      </c>
      <c r="AU61" s="2">
        <v>1</v>
      </c>
      <c r="AV61" s="1">
        <v>1</v>
      </c>
      <c r="AW61" s="1">
        <v>1</v>
      </c>
      <c r="AX61" s="1">
        <v>1</v>
      </c>
      <c r="AY61" s="3">
        <v>1</v>
      </c>
      <c r="AZ61" s="86">
        <f>SUMPRODUCT($AT$15:$AX$15,T_MEASURES[[#This Row],[&lt;5.000]:[&gt;100.000]])</f>
        <v>1</v>
      </c>
      <c r="BA61" s="1">
        <v>1</v>
      </c>
      <c r="BB61" s="1">
        <v>1</v>
      </c>
      <c r="BC61" s="1">
        <v>1</v>
      </c>
      <c r="BD61" s="1">
        <v>1</v>
      </c>
      <c r="BE61" s="1">
        <v>1</v>
      </c>
      <c r="BF61" s="1">
        <v>1</v>
      </c>
      <c r="BG61" s="1">
        <v>1</v>
      </c>
      <c r="BH61" s="86" cm="1">
        <f t="array" ref="BH61">SUMPRODUCT(--((T_MEASURES[[#This Row],[Health or social care centers]:[Schools / Educational centers]] + $AZ$15:$BF$15)&gt;0))</f>
        <v>7</v>
      </c>
      <c r="BI61" s="1">
        <v>0</v>
      </c>
      <c r="BJ61" s="1">
        <v>0</v>
      </c>
      <c r="BK61" s="1">
        <v>0</v>
      </c>
      <c r="BL61" s="1">
        <v>2</v>
      </c>
      <c r="BM61" s="1">
        <v>3</v>
      </c>
      <c r="BN61" s="1">
        <v>2</v>
      </c>
      <c r="BO61" s="1">
        <v>3</v>
      </c>
      <c r="BP61" s="1">
        <v>3</v>
      </c>
      <c r="BQ61" s="96" cm="1">
        <f t="array" ref="BQ61">T_MEASURES[[#This Row],[Apply size]]*(SUMPRODUCT(T_MEASURES[[#This Row],[C1_Urban Cooling]:[C8_Time]],TRANSPOSE('2.WEIGHTS'!$L$12:$L$19))+(ROW(C61)-ROW($C$18)+1)*0.0000000001)*100</f>
        <v>162.50000043999998</v>
      </c>
      <c r="BR61" s="21"/>
      <c r="BS61" s="38"/>
    </row>
    <row r="62" spans="1:71" ht="33.6" x14ac:dyDescent="0.3">
      <c r="A62" s="21"/>
      <c r="B62" s="38"/>
      <c r="C62" s="21"/>
      <c r="D62" s="86">
        <f>IF(T_MEASURES[[#This Row],[Weight Criterion]]&lt;=0,"",_xlfn.RANK.EQ(T_MEASURES[[#This Row],[Weight Criterion]],T_MEASURES[Weight Criterion]))</f>
        <v>76</v>
      </c>
      <c r="E62" s="152" t="s">
        <v>216</v>
      </c>
      <c r="F62" s="151" t="s">
        <v>55</v>
      </c>
      <c r="G62" s="151" t="s">
        <v>44</v>
      </c>
      <c r="H62" s="151" t="s">
        <v>145</v>
      </c>
      <c r="I62" s="151" t="s">
        <v>217</v>
      </c>
      <c r="J62" s="151"/>
      <c r="K62" s="153">
        <v>1</v>
      </c>
      <c r="L62" s="18"/>
      <c r="M62" s="18"/>
      <c r="N62" s="154" t="str">
        <f t="shared" si="2"/>
        <v>€</v>
      </c>
      <c r="O62" s="155">
        <v>1</v>
      </c>
      <c r="P62" s="155"/>
      <c r="Q62" s="19"/>
      <c r="R62" s="155"/>
      <c r="S62" s="72" t="str">
        <f>IF(T_MEASURES[[#This Row],[No risk (0)]]=1,"■","")</f>
        <v>■</v>
      </c>
      <c r="T62" s="73" t="str">
        <f>IF(T_MEASURES[[#This Row],[Low risk (1)]]=1,"■","")</f>
        <v/>
      </c>
      <c r="U62" s="74" t="str">
        <f>IF(T_MEASURES[[#This Row],[Medium risk (2)]]=1,"■","")</f>
        <v/>
      </c>
      <c r="V62" s="71" t="str">
        <f>IF(T_MEASURES[[#This Row],[High risk (3)]]=1,"■","")</f>
        <v/>
      </c>
      <c r="W62" s="18" t="str">
        <f t="shared" si="1"/>
        <v>1. No Risk (Green)</v>
      </c>
      <c r="X62" s="18">
        <f>COUNT(T_MEASURES[[#This Row],[Buildings and public facilities]:[Coordination]])</f>
        <v>1</v>
      </c>
      <c r="Y62" s="18"/>
      <c r="Z62" s="18" t="str">
        <f>IF(T_MEASURES[[#This Row],[Buildings and public facilities]]=1,"Yes","No")</f>
        <v>No</v>
      </c>
      <c r="AA62" s="18"/>
      <c r="AB62" s="18" t="str">
        <f>IF(T_MEASURES[[#This Row],[Urban planning]]=1,"Yes","No")</f>
        <v>No</v>
      </c>
      <c r="AC62" s="18"/>
      <c r="AD62" s="18" t="str">
        <f>IF(T_MEASURES[[#This Row],[Culture and Sports]],"Yes","No")</f>
        <v>No</v>
      </c>
      <c r="AE62" s="18"/>
      <c r="AF62" s="18" t="str">
        <f>IF(T_MEASURES[[#This Row],[Tourism]],"Yes","No")</f>
        <v>No</v>
      </c>
      <c r="AG62" s="18">
        <v>1</v>
      </c>
      <c r="AH62" s="18" t="str">
        <f>IF(T_MEASURES[[#This Row],[Occupational risks]],"Yes","No")</f>
        <v>Yes</v>
      </c>
      <c r="AI62" s="18"/>
      <c r="AJ62" s="18" t="str">
        <f>IF(T_MEASURES[[#This Row],[Education]],"Yes","No")</f>
        <v>No</v>
      </c>
      <c r="AK62" s="18"/>
      <c r="AL62" s="18" t="str">
        <f>IF(T_MEASURES[[#This Row],[Social Services]],"Yes","No")</f>
        <v>No</v>
      </c>
      <c r="AM62" s="18"/>
      <c r="AN62" s="18" t="str">
        <f>IF(T_MEASURES[[#This Row],[Emergency Services and Police]],"Yes","No")</f>
        <v>No</v>
      </c>
      <c r="AO62" s="18"/>
      <c r="AP62" s="18" t="str">
        <f>IF(T_MEASURES[[#This Row],[Parks and gardens (Urban Green Infrastructure)]],"Yes","No")</f>
        <v>No</v>
      </c>
      <c r="AQ62" s="18"/>
      <c r="AR62" s="18" t="str">
        <f>IF(T_MEASURES[[#This Row],[Transport]],"Yes","No")</f>
        <v>No</v>
      </c>
      <c r="AS62" s="158"/>
      <c r="AT62" s="1" t="str">
        <f>IF(T_MEASURES[[#This Row],[Coordination]],"Yes","No")</f>
        <v>No</v>
      </c>
      <c r="AU62" s="2">
        <v>1</v>
      </c>
      <c r="AV62" s="1">
        <v>1</v>
      </c>
      <c r="AW62" s="1">
        <v>1</v>
      </c>
      <c r="AX62" s="1">
        <v>1</v>
      </c>
      <c r="AY62" s="3">
        <v>1</v>
      </c>
      <c r="AZ62" s="86">
        <f>SUMPRODUCT($AT$15:$AX$15,T_MEASURES[[#This Row],[&lt;5.000]:[&gt;100.000]])</f>
        <v>1</v>
      </c>
      <c r="BA62" s="1">
        <v>1</v>
      </c>
      <c r="BB62" s="1">
        <v>1</v>
      </c>
      <c r="BC62" s="1">
        <v>1</v>
      </c>
      <c r="BD62" s="1">
        <v>1</v>
      </c>
      <c r="BE62" s="1">
        <v>1</v>
      </c>
      <c r="BF62" s="1">
        <v>1</v>
      </c>
      <c r="BG62" s="1">
        <v>1</v>
      </c>
      <c r="BH62" s="86" cm="1">
        <f t="array" ref="BH62">SUMPRODUCT(--((T_MEASURES[[#This Row],[Health or social care centers]:[Schools / Educational centers]] + $AZ$15:$BF$15)&gt;0))</f>
        <v>7</v>
      </c>
      <c r="BI62" s="88">
        <v>0</v>
      </c>
      <c r="BJ62" s="88">
        <v>0</v>
      </c>
      <c r="BK62" s="88">
        <v>2</v>
      </c>
      <c r="BL62" s="88">
        <v>2</v>
      </c>
      <c r="BM62" s="88">
        <v>3</v>
      </c>
      <c r="BN62" s="88">
        <v>2</v>
      </c>
      <c r="BO62" s="88">
        <v>3</v>
      </c>
      <c r="BP62" s="88">
        <v>3</v>
      </c>
      <c r="BQ62" s="96" cm="1">
        <f t="array" ref="BQ62">T_MEASURES[[#This Row],[Apply size]]*(SUMPRODUCT(T_MEASURES[[#This Row],[C1_Urban Cooling]:[C8_Time]],TRANSPOSE('2.WEIGHTS'!$L$12:$L$19))+(ROW(C62)-ROW($C$18)+1)*0.0000000001)*100</f>
        <v>187.50000044999999</v>
      </c>
      <c r="BR62" s="21"/>
      <c r="BS62" s="38"/>
    </row>
    <row r="63" spans="1:71" ht="33.6" x14ac:dyDescent="0.3">
      <c r="A63" s="21"/>
      <c r="B63" s="38"/>
      <c r="C63" s="21"/>
      <c r="D63" s="86">
        <f>IF(T_MEASURES[[#This Row],[Weight Criterion]]&lt;=0,"",_xlfn.RANK.EQ(T_MEASURES[[#This Row],[Weight Criterion]],T_MEASURES[Weight Criterion]))</f>
        <v>90</v>
      </c>
      <c r="E63" s="152" t="s">
        <v>218</v>
      </c>
      <c r="F63" s="151" t="s">
        <v>55</v>
      </c>
      <c r="G63" s="151" t="s">
        <v>44</v>
      </c>
      <c r="H63" s="151" t="s">
        <v>145</v>
      </c>
      <c r="I63" s="151" t="s">
        <v>219</v>
      </c>
      <c r="J63" s="151"/>
      <c r="K63" s="153">
        <v>1</v>
      </c>
      <c r="L63" s="18"/>
      <c r="M63" s="18"/>
      <c r="N63" s="154" t="str">
        <f t="shared" si="2"/>
        <v>€</v>
      </c>
      <c r="O63" s="155">
        <v>1</v>
      </c>
      <c r="P63" s="155"/>
      <c r="Q63" s="19"/>
      <c r="R63" s="155"/>
      <c r="S63" s="72" t="str">
        <f>IF(T_MEASURES[[#This Row],[No risk (0)]]=1,"■","")</f>
        <v>■</v>
      </c>
      <c r="T63" s="73" t="str">
        <f>IF(T_MEASURES[[#This Row],[Low risk (1)]]=1,"■","")</f>
        <v/>
      </c>
      <c r="U63" s="74" t="str">
        <f>IF(T_MEASURES[[#This Row],[Medium risk (2)]]=1,"■","")</f>
        <v/>
      </c>
      <c r="V63" s="71" t="str">
        <f>IF(T_MEASURES[[#This Row],[High risk (3)]]=1,"■","")</f>
        <v/>
      </c>
      <c r="W63" s="18" t="str">
        <f t="shared" si="1"/>
        <v>1. No Risk (Green)</v>
      </c>
      <c r="X63" s="18">
        <f>COUNT(T_MEASURES[[#This Row],[Buildings and public facilities]:[Coordination]])</f>
        <v>1</v>
      </c>
      <c r="Y63" s="18"/>
      <c r="Z63" s="18" t="str">
        <f>IF(T_MEASURES[[#This Row],[Buildings and public facilities]]=1,"Yes","No")</f>
        <v>No</v>
      </c>
      <c r="AA63" s="18"/>
      <c r="AB63" s="18" t="str">
        <f>IF(T_MEASURES[[#This Row],[Urban planning]]=1,"Yes","No")</f>
        <v>No</v>
      </c>
      <c r="AC63" s="18"/>
      <c r="AD63" s="18" t="str">
        <f>IF(T_MEASURES[[#This Row],[Culture and Sports]],"Yes","No")</f>
        <v>No</v>
      </c>
      <c r="AE63" s="18">
        <v>1</v>
      </c>
      <c r="AF63" s="18" t="str">
        <f>IF(T_MEASURES[[#This Row],[Tourism]],"Yes","No")</f>
        <v>Yes</v>
      </c>
      <c r="AG63" s="18"/>
      <c r="AH63" s="18" t="str">
        <f>IF(T_MEASURES[[#This Row],[Occupational risks]],"Yes","No")</f>
        <v>No</v>
      </c>
      <c r="AI63" s="18"/>
      <c r="AJ63" s="18" t="str">
        <f>IF(T_MEASURES[[#This Row],[Education]],"Yes","No")</f>
        <v>No</v>
      </c>
      <c r="AK63" s="18"/>
      <c r="AL63" s="18" t="str">
        <f>IF(T_MEASURES[[#This Row],[Social Services]],"Yes","No")</f>
        <v>No</v>
      </c>
      <c r="AM63" s="18"/>
      <c r="AN63" s="18" t="str">
        <f>IF(T_MEASURES[[#This Row],[Emergency Services and Police]],"Yes","No")</f>
        <v>No</v>
      </c>
      <c r="AO63" s="18"/>
      <c r="AP63" s="18" t="str">
        <f>IF(T_MEASURES[[#This Row],[Parks and gardens (Urban Green Infrastructure)]],"Yes","No")</f>
        <v>No</v>
      </c>
      <c r="AQ63" s="18"/>
      <c r="AR63" s="18" t="str">
        <f>IF(T_MEASURES[[#This Row],[Transport]],"Yes","No")</f>
        <v>No</v>
      </c>
      <c r="AS63" s="158"/>
      <c r="AT63" s="1" t="str">
        <f>IF(T_MEASURES[[#This Row],[Coordination]],"Yes","No")</f>
        <v>No</v>
      </c>
      <c r="AU63" s="2">
        <v>1</v>
      </c>
      <c r="AV63" s="1">
        <v>1</v>
      </c>
      <c r="AW63" s="1">
        <v>1</v>
      </c>
      <c r="AX63" s="1">
        <v>1</v>
      </c>
      <c r="AY63" s="3">
        <v>1</v>
      </c>
      <c r="AZ63" s="86">
        <f>SUMPRODUCT($AT$15:$AX$15,T_MEASURES[[#This Row],[&lt;5.000]:[&gt;100.000]])</f>
        <v>1</v>
      </c>
      <c r="BA63" s="1">
        <v>1</v>
      </c>
      <c r="BB63" s="1">
        <v>1</v>
      </c>
      <c r="BC63" s="1">
        <v>1</v>
      </c>
      <c r="BD63" s="1">
        <v>1</v>
      </c>
      <c r="BE63" s="1">
        <v>1</v>
      </c>
      <c r="BF63" s="1">
        <v>1</v>
      </c>
      <c r="BG63" s="1">
        <v>1</v>
      </c>
      <c r="BH63" s="86" cm="1">
        <f t="array" ref="BH63">SUMPRODUCT(--((T_MEASURES[[#This Row],[Health or social care centers]:[Schools / Educational centers]] + $AZ$15:$BF$15)&gt;0))</f>
        <v>7</v>
      </c>
      <c r="BI63" s="1">
        <v>0</v>
      </c>
      <c r="BJ63" s="1">
        <v>0</v>
      </c>
      <c r="BK63" s="1">
        <v>1</v>
      </c>
      <c r="BL63" s="1">
        <v>2</v>
      </c>
      <c r="BM63" s="1">
        <v>3</v>
      </c>
      <c r="BN63" s="1">
        <v>2</v>
      </c>
      <c r="BO63" s="1">
        <v>3</v>
      </c>
      <c r="BP63" s="1">
        <v>3</v>
      </c>
      <c r="BQ63" s="96" cm="1">
        <f t="array" ref="BQ63">T_MEASURES[[#This Row],[Apply size]]*(SUMPRODUCT(T_MEASURES[[#This Row],[C1_Urban Cooling]:[C8_Time]],TRANSPOSE('2.WEIGHTS'!$L$12:$L$19))+(ROW(C63)-ROW($C$18)+1)*0.0000000001)*100</f>
        <v>175.00000046</v>
      </c>
      <c r="BR63" s="21"/>
      <c r="BS63" s="38"/>
    </row>
    <row r="64" spans="1:71" ht="33.6" x14ac:dyDescent="0.3">
      <c r="A64" s="21"/>
      <c r="B64" s="38"/>
      <c r="C64" s="21"/>
      <c r="D64" s="86">
        <f>IF(T_MEASURES[[#This Row],[Weight Criterion]]&lt;=0,"",_xlfn.RANK.EQ(T_MEASURES[[#This Row],[Weight Criterion]],T_MEASURES[Weight Criterion]))</f>
        <v>8</v>
      </c>
      <c r="E64" s="152" t="s">
        <v>220</v>
      </c>
      <c r="F64" s="151" t="s">
        <v>55</v>
      </c>
      <c r="G64" s="151" t="s">
        <v>44</v>
      </c>
      <c r="H64" s="151" t="s">
        <v>145</v>
      </c>
      <c r="I64" s="151" t="s">
        <v>221</v>
      </c>
      <c r="J64" s="151"/>
      <c r="K64" s="153">
        <v>1</v>
      </c>
      <c r="L64" s="18"/>
      <c r="M64" s="18"/>
      <c r="N64" s="154" t="str">
        <f t="shared" si="2"/>
        <v>€</v>
      </c>
      <c r="O64" s="155">
        <v>1</v>
      </c>
      <c r="P64" s="155">
        <v>1</v>
      </c>
      <c r="Q64" s="19"/>
      <c r="R64" s="155"/>
      <c r="S64" s="72" t="str">
        <f>IF(T_MEASURES[[#This Row],[No risk (0)]]=1,"■","")</f>
        <v>■</v>
      </c>
      <c r="T64" s="73" t="str">
        <f>IF(T_MEASURES[[#This Row],[Low risk (1)]]=1,"■","")</f>
        <v>■</v>
      </c>
      <c r="U64" s="74" t="str">
        <f>IF(T_MEASURES[[#This Row],[Medium risk (2)]]=1,"■","")</f>
        <v/>
      </c>
      <c r="V64" s="71" t="str">
        <f>IF(T_MEASURES[[#This Row],[High risk (3)]]=1,"■","")</f>
        <v/>
      </c>
      <c r="W64" s="18" t="str">
        <f t="shared" si="1"/>
        <v>2. Low (Yellow)</v>
      </c>
      <c r="X64" s="18">
        <f>COUNT(T_MEASURES[[#This Row],[Buildings and public facilities]:[Coordination]])</f>
        <v>3</v>
      </c>
      <c r="Y64" s="18">
        <v>1</v>
      </c>
      <c r="Z64" s="18" t="str">
        <f>IF(T_MEASURES[[#This Row],[Buildings and public facilities]]=1,"Yes","No")</f>
        <v>Yes</v>
      </c>
      <c r="AA64" s="18">
        <v>1</v>
      </c>
      <c r="AB64" s="18" t="str">
        <f>IF(T_MEASURES[[#This Row],[Urban planning]]=1,"Yes","No")</f>
        <v>Yes</v>
      </c>
      <c r="AC64" s="18"/>
      <c r="AD64" s="18" t="str">
        <f>IF(T_MEASURES[[#This Row],[Culture and Sports]],"Yes","No")</f>
        <v>No</v>
      </c>
      <c r="AE64" s="18"/>
      <c r="AF64" s="18" t="str">
        <f>IF(T_MEASURES[[#This Row],[Tourism]],"Yes","No")</f>
        <v>No</v>
      </c>
      <c r="AG64" s="18"/>
      <c r="AH64" s="18" t="str">
        <f>IF(T_MEASURES[[#This Row],[Occupational risks]],"Yes","No")</f>
        <v>No</v>
      </c>
      <c r="AI64" s="18"/>
      <c r="AJ64" s="18" t="str">
        <f>IF(T_MEASURES[[#This Row],[Education]],"Yes","No")</f>
        <v>No</v>
      </c>
      <c r="AK64" s="18"/>
      <c r="AL64" s="18" t="str">
        <f>IF(T_MEASURES[[#This Row],[Social Services]],"Yes","No")</f>
        <v>No</v>
      </c>
      <c r="AM64" s="18"/>
      <c r="AN64" s="18" t="str">
        <f>IF(T_MEASURES[[#This Row],[Emergency Services and Police]],"Yes","No")</f>
        <v>No</v>
      </c>
      <c r="AO64" s="18">
        <v>1</v>
      </c>
      <c r="AP64" s="18" t="str">
        <f>IF(T_MEASURES[[#This Row],[Parks and gardens (Urban Green Infrastructure)]],"Yes","No")</f>
        <v>Yes</v>
      </c>
      <c r="AQ64" s="18"/>
      <c r="AR64" s="18" t="str">
        <f>IF(T_MEASURES[[#This Row],[Transport]],"Yes","No")</f>
        <v>No</v>
      </c>
      <c r="AS64" s="158"/>
      <c r="AT64" s="1" t="str">
        <f>IF(T_MEASURES[[#This Row],[Coordination]],"Yes","No")</f>
        <v>No</v>
      </c>
      <c r="AU64" s="2">
        <v>1</v>
      </c>
      <c r="AV64" s="1">
        <v>1</v>
      </c>
      <c r="AW64" s="1">
        <v>1</v>
      </c>
      <c r="AX64" s="1">
        <v>1</v>
      </c>
      <c r="AY64" s="3">
        <v>1</v>
      </c>
      <c r="AZ64" s="86">
        <f>SUMPRODUCT($AT$15:$AX$15,T_MEASURES[[#This Row],[&lt;5.000]:[&gt;100.000]])</f>
        <v>1</v>
      </c>
      <c r="BA64" s="1">
        <v>1</v>
      </c>
      <c r="BB64" s="1">
        <v>1</v>
      </c>
      <c r="BC64" s="1">
        <v>1</v>
      </c>
      <c r="BD64" s="1">
        <v>1</v>
      </c>
      <c r="BE64" s="1">
        <v>1</v>
      </c>
      <c r="BF64" s="1">
        <v>1</v>
      </c>
      <c r="BG64" s="1">
        <v>1</v>
      </c>
      <c r="BH64" s="86" cm="1">
        <f t="array" ref="BH64">SUMPRODUCT(--((T_MEASURES[[#This Row],[Health or social care centers]:[Schools / Educational centers]] + $AZ$15:$BF$15)&gt;0))</f>
        <v>7</v>
      </c>
      <c r="BI64" s="88">
        <v>0</v>
      </c>
      <c r="BJ64" s="88">
        <v>0</v>
      </c>
      <c r="BK64" s="88">
        <v>3</v>
      </c>
      <c r="BL64" s="88">
        <v>3</v>
      </c>
      <c r="BM64" s="88">
        <v>3</v>
      </c>
      <c r="BN64" s="88">
        <v>2</v>
      </c>
      <c r="BO64" s="88">
        <v>3</v>
      </c>
      <c r="BP64" s="88">
        <v>3</v>
      </c>
      <c r="BQ64" s="96" cm="1">
        <f t="array" ref="BQ64">T_MEASURES[[#This Row],[Apply size]]*(SUMPRODUCT(T_MEASURES[[#This Row],[C1_Urban Cooling]:[C8_Time]],TRANSPOSE('2.WEIGHTS'!$L$12:$L$19))+(ROW(C64)-ROW($C$18)+1)*0.0000000001)*100</f>
        <v>212.50000047</v>
      </c>
      <c r="BR64" s="21"/>
      <c r="BS64" s="38"/>
    </row>
    <row r="65" spans="1:71" ht="33.6" x14ac:dyDescent="0.3">
      <c r="A65" s="21"/>
      <c r="B65" s="38"/>
      <c r="C65" s="21"/>
      <c r="D65" s="86">
        <f>IF(T_MEASURES[[#This Row],[Weight Criterion]]&lt;=0,"",_xlfn.RANK.EQ(T_MEASURES[[#This Row],[Weight Criterion]],T_MEASURES[Weight Criterion]))</f>
        <v>40</v>
      </c>
      <c r="E65" s="152" t="s">
        <v>222</v>
      </c>
      <c r="F65" s="151" t="s">
        <v>55</v>
      </c>
      <c r="G65" s="151" t="s">
        <v>42</v>
      </c>
      <c r="H65" s="151" t="s">
        <v>135</v>
      </c>
      <c r="I65" s="151" t="s">
        <v>223</v>
      </c>
      <c r="J65" s="151"/>
      <c r="K65" s="153">
        <v>1</v>
      </c>
      <c r="L65" s="18"/>
      <c r="M65" s="18"/>
      <c r="N65" s="154" t="str">
        <f t="shared" si="2"/>
        <v>€</v>
      </c>
      <c r="O65" s="155">
        <v>1</v>
      </c>
      <c r="P65" s="155">
        <v>1</v>
      </c>
      <c r="Q65" s="19"/>
      <c r="R65" s="155"/>
      <c r="S65" s="72" t="str">
        <f>IF(T_MEASURES[[#This Row],[No risk (0)]]=1,"■","")</f>
        <v>■</v>
      </c>
      <c r="T65" s="73" t="str">
        <f>IF(T_MEASURES[[#This Row],[Low risk (1)]]=1,"■","")</f>
        <v>■</v>
      </c>
      <c r="U65" s="74" t="str">
        <f>IF(T_MEASURES[[#This Row],[Medium risk (2)]]=1,"■","")</f>
        <v/>
      </c>
      <c r="V65" s="71" t="str">
        <f>IF(T_MEASURES[[#This Row],[High risk (3)]]=1,"■","")</f>
        <v/>
      </c>
      <c r="W65" s="18" t="str">
        <f t="shared" si="1"/>
        <v>2. Low (Yellow)</v>
      </c>
      <c r="X65" s="18">
        <f>COUNT(T_MEASURES[[#This Row],[Buildings and public facilities]:[Coordination]])</f>
        <v>1</v>
      </c>
      <c r="Y65" s="18"/>
      <c r="Z65" s="18" t="str">
        <f>IF(T_MEASURES[[#This Row],[Buildings and public facilities]]=1,"Yes","No")</f>
        <v>No</v>
      </c>
      <c r="AA65" s="18"/>
      <c r="AB65" s="18" t="str">
        <f>IF(T_MEASURES[[#This Row],[Urban planning]]=1,"Yes","No")</f>
        <v>No</v>
      </c>
      <c r="AC65" s="18"/>
      <c r="AD65" s="18" t="str">
        <f>IF(T_MEASURES[[#This Row],[Culture and Sports]],"Yes","No")</f>
        <v>No</v>
      </c>
      <c r="AE65" s="18"/>
      <c r="AF65" s="18" t="str">
        <f>IF(T_MEASURES[[#This Row],[Tourism]],"Yes","No")</f>
        <v>No</v>
      </c>
      <c r="AG65" s="18"/>
      <c r="AH65" s="18" t="str">
        <f>IF(T_MEASURES[[#This Row],[Occupational risks]],"Yes","No")</f>
        <v>No</v>
      </c>
      <c r="AI65" s="18"/>
      <c r="AJ65" s="18" t="str">
        <f>IF(T_MEASURES[[#This Row],[Education]],"Yes","No")</f>
        <v>No</v>
      </c>
      <c r="AK65" s="18">
        <v>1</v>
      </c>
      <c r="AL65" s="18" t="str">
        <f>IF(T_MEASURES[[#This Row],[Social Services]],"Yes","No")</f>
        <v>Yes</v>
      </c>
      <c r="AM65" s="18"/>
      <c r="AN65" s="18" t="str">
        <f>IF(T_MEASURES[[#This Row],[Emergency Services and Police]],"Yes","No")</f>
        <v>No</v>
      </c>
      <c r="AO65" s="18"/>
      <c r="AP65" s="18" t="str">
        <f>IF(T_MEASURES[[#This Row],[Parks and gardens (Urban Green Infrastructure)]],"Yes","No")</f>
        <v>No</v>
      </c>
      <c r="AQ65" s="18"/>
      <c r="AR65" s="18" t="str">
        <f>IF(T_MEASURES[[#This Row],[Transport]],"Yes","No")</f>
        <v>No</v>
      </c>
      <c r="AS65" s="158"/>
      <c r="AT65" s="1" t="str">
        <f>IF(T_MEASURES[[#This Row],[Coordination]],"Yes","No")</f>
        <v>No</v>
      </c>
      <c r="AU65" s="2">
        <v>1</v>
      </c>
      <c r="AV65" s="1">
        <v>1</v>
      </c>
      <c r="AW65" s="1">
        <v>1</v>
      </c>
      <c r="AX65" s="1">
        <v>1</v>
      </c>
      <c r="AY65" s="3">
        <v>1</v>
      </c>
      <c r="AZ65" s="86">
        <f>SUMPRODUCT($AT$15:$AX$15,T_MEASURES[[#This Row],[&lt;5.000]:[&gt;100.000]])</f>
        <v>1</v>
      </c>
      <c r="BA65" s="1">
        <v>1</v>
      </c>
      <c r="BB65" s="1">
        <v>1</v>
      </c>
      <c r="BC65" s="1">
        <v>1</v>
      </c>
      <c r="BD65" s="1">
        <v>1</v>
      </c>
      <c r="BE65" s="1">
        <v>1</v>
      </c>
      <c r="BF65" s="1">
        <v>1</v>
      </c>
      <c r="BG65" s="1">
        <v>1</v>
      </c>
      <c r="BH65" s="86" cm="1">
        <f t="array" ref="BH65">SUMPRODUCT(--((T_MEASURES[[#This Row],[Health or social care centers]:[Schools / Educational centers]] + $AZ$15:$BF$15)&gt;0))</f>
        <v>7</v>
      </c>
      <c r="BI65" s="1">
        <v>0</v>
      </c>
      <c r="BJ65" s="1">
        <v>0</v>
      </c>
      <c r="BK65" s="1">
        <v>3</v>
      </c>
      <c r="BL65" s="1">
        <v>2</v>
      </c>
      <c r="BM65" s="1">
        <v>3</v>
      </c>
      <c r="BN65" s="1">
        <v>2</v>
      </c>
      <c r="BO65" s="1">
        <v>3</v>
      </c>
      <c r="BP65" s="1">
        <v>3</v>
      </c>
      <c r="BQ65" s="96" cm="1">
        <f t="array" ref="BQ65">T_MEASURES[[#This Row],[Apply size]]*(SUMPRODUCT(T_MEASURES[[#This Row],[C1_Urban Cooling]:[C8_Time]],TRANSPOSE('2.WEIGHTS'!$L$12:$L$19))+(ROW(C65)-ROW($C$18)+1)*0.0000000001)*100</f>
        <v>200.00000047999998</v>
      </c>
      <c r="BR65" s="21"/>
      <c r="BS65" s="38"/>
    </row>
    <row r="66" spans="1:71" ht="33.6" x14ac:dyDescent="0.3">
      <c r="A66" s="21"/>
      <c r="B66" s="38"/>
      <c r="C66" s="21"/>
      <c r="D66" s="86">
        <f>IF(T_MEASURES[[#This Row],[Weight Criterion]]&lt;=0,"",_xlfn.RANK.EQ(T_MEASURES[[#This Row],[Weight Criterion]],T_MEASURES[Weight Criterion]))</f>
        <v>39</v>
      </c>
      <c r="E66" s="152" t="s">
        <v>224</v>
      </c>
      <c r="F66" s="151" t="s">
        <v>55</v>
      </c>
      <c r="G66" s="151" t="s">
        <v>41</v>
      </c>
      <c r="H66" s="151" t="s">
        <v>132</v>
      </c>
      <c r="I66" s="151" t="s">
        <v>225</v>
      </c>
      <c r="J66" s="151"/>
      <c r="K66" s="153"/>
      <c r="L66" s="18">
        <v>1</v>
      </c>
      <c r="M66" s="18"/>
      <c r="N66" s="154" t="str">
        <f t="shared" si="2"/>
        <v>€€</v>
      </c>
      <c r="O66" s="155">
        <v>1</v>
      </c>
      <c r="P66" s="155">
        <v>1</v>
      </c>
      <c r="Q66" s="19"/>
      <c r="R66" s="155"/>
      <c r="S66" s="72" t="str">
        <f>IF(T_MEASURES[[#This Row],[No risk (0)]]=1,"■","")</f>
        <v>■</v>
      </c>
      <c r="T66" s="73" t="str">
        <f>IF(T_MEASURES[[#This Row],[Low risk (1)]]=1,"■","")</f>
        <v>■</v>
      </c>
      <c r="U66" s="74" t="str">
        <f>IF(T_MEASURES[[#This Row],[Medium risk (2)]]=1,"■","")</f>
        <v/>
      </c>
      <c r="V66" s="71" t="str">
        <f>IF(T_MEASURES[[#This Row],[High risk (3)]]=1,"■","")</f>
        <v/>
      </c>
      <c r="W66" s="18" t="str">
        <f t="shared" si="1"/>
        <v>2. Low (Yellow)</v>
      </c>
      <c r="X66" s="18">
        <f>COUNT(T_MEASURES[[#This Row],[Buildings and public facilities]:[Coordination]])</f>
        <v>3</v>
      </c>
      <c r="Y66" s="18">
        <v>1</v>
      </c>
      <c r="Z66" s="18" t="str">
        <f>IF(T_MEASURES[[#This Row],[Buildings and public facilities]]=1,"Yes","No")</f>
        <v>Yes</v>
      </c>
      <c r="AA66" s="18">
        <v>1</v>
      </c>
      <c r="AB66" s="18" t="str">
        <f>IF(T_MEASURES[[#This Row],[Urban planning]]=1,"Yes","No")</f>
        <v>Yes</v>
      </c>
      <c r="AC66" s="18"/>
      <c r="AD66" s="18" t="str">
        <f>IF(T_MEASURES[[#This Row],[Culture and Sports]],"Yes","No")</f>
        <v>No</v>
      </c>
      <c r="AE66" s="18"/>
      <c r="AF66" s="18" t="str">
        <f>IF(T_MEASURES[[#This Row],[Tourism]],"Yes","No")</f>
        <v>No</v>
      </c>
      <c r="AG66" s="18"/>
      <c r="AH66" s="18" t="str">
        <f>IF(T_MEASURES[[#This Row],[Occupational risks]],"Yes","No")</f>
        <v>No</v>
      </c>
      <c r="AI66" s="18"/>
      <c r="AJ66" s="18" t="str">
        <f>IF(T_MEASURES[[#This Row],[Education]],"Yes","No")</f>
        <v>No</v>
      </c>
      <c r="AK66" s="18"/>
      <c r="AL66" s="18" t="str">
        <f>IF(T_MEASURES[[#This Row],[Social Services]],"Yes","No")</f>
        <v>No</v>
      </c>
      <c r="AM66" s="18"/>
      <c r="AN66" s="18" t="str">
        <f>IF(T_MEASURES[[#This Row],[Emergency Services and Police]],"Yes","No")</f>
        <v>No</v>
      </c>
      <c r="AO66" s="18">
        <v>1</v>
      </c>
      <c r="AP66" s="18" t="str">
        <f>IF(T_MEASURES[[#This Row],[Parks and gardens (Urban Green Infrastructure)]],"Yes","No")</f>
        <v>Yes</v>
      </c>
      <c r="AQ66" s="18"/>
      <c r="AR66" s="18" t="str">
        <f>IF(T_MEASURES[[#This Row],[Transport]],"Yes","No")</f>
        <v>No</v>
      </c>
      <c r="AS66" s="158"/>
      <c r="AT66" s="1" t="str">
        <f>IF(T_MEASURES[[#This Row],[Coordination]],"Yes","No")</f>
        <v>No</v>
      </c>
      <c r="AU66" s="2">
        <v>1</v>
      </c>
      <c r="AV66" s="1">
        <v>1</v>
      </c>
      <c r="AW66" s="1">
        <v>1</v>
      </c>
      <c r="AX66" s="1">
        <v>1</v>
      </c>
      <c r="AY66" s="3">
        <v>1</v>
      </c>
      <c r="AZ66" s="86">
        <f>SUMPRODUCT($AT$15:$AX$15,T_MEASURES[[#This Row],[&lt;5.000]:[&gt;100.000]])</f>
        <v>1</v>
      </c>
      <c r="BA66" s="1">
        <v>1</v>
      </c>
      <c r="BB66" s="1">
        <v>1</v>
      </c>
      <c r="BC66" s="1">
        <v>1</v>
      </c>
      <c r="BD66" s="1">
        <v>1</v>
      </c>
      <c r="BE66" s="1">
        <v>1</v>
      </c>
      <c r="BF66" s="1">
        <v>1</v>
      </c>
      <c r="BG66" s="1">
        <v>1</v>
      </c>
      <c r="BH66" s="86" cm="1">
        <f t="array" ref="BH66">SUMPRODUCT(--((T_MEASURES[[#This Row],[Health or social care centers]:[Schools / Educational centers]] + $AZ$15:$BF$15)&gt;0))</f>
        <v>7</v>
      </c>
      <c r="BI66" s="88">
        <v>3</v>
      </c>
      <c r="BJ66" s="88">
        <v>1</v>
      </c>
      <c r="BK66" s="88">
        <v>3</v>
      </c>
      <c r="BL66" s="88">
        <v>3</v>
      </c>
      <c r="BM66" s="88">
        <v>1</v>
      </c>
      <c r="BN66" s="88">
        <v>2</v>
      </c>
      <c r="BO66" s="88">
        <v>2</v>
      </c>
      <c r="BP66" s="88">
        <v>1</v>
      </c>
      <c r="BQ66" s="96" cm="1">
        <f t="array" ref="BQ66">T_MEASURES[[#This Row],[Apply size]]*(SUMPRODUCT(T_MEASURES[[#This Row],[C1_Urban Cooling]:[C8_Time]],TRANSPOSE('2.WEIGHTS'!$L$12:$L$19))+(ROW(C66)-ROW($C$18)+1)*0.0000000001)*100</f>
        <v>200.00000048999999</v>
      </c>
      <c r="BR66" s="21"/>
      <c r="BS66" s="38"/>
    </row>
    <row r="67" spans="1:71" ht="33.6" x14ac:dyDescent="0.3">
      <c r="A67" s="21"/>
      <c r="B67" s="38"/>
      <c r="C67" s="21"/>
      <c r="D67" s="86">
        <f>IF(T_MEASURES[[#This Row],[Weight Criterion]]&lt;=0,"",_xlfn.RANK.EQ(T_MEASURES[[#This Row],[Weight Criterion]],T_MEASURES[Weight Criterion]))</f>
        <v>112</v>
      </c>
      <c r="E67" s="152" t="s">
        <v>226</v>
      </c>
      <c r="F67" s="151" t="s">
        <v>55</v>
      </c>
      <c r="G67" s="151" t="s">
        <v>44</v>
      </c>
      <c r="H67" s="151" t="s">
        <v>145</v>
      </c>
      <c r="I67" s="151" t="s">
        <v>227</v>
      </c>
      <c r="J67" s="151"/>
      <c r="K67" s="153">
        <v>1</v>
      </c>
      <c r="L67" s="18"/>
      <c r="M67" s="18"/>
      <c r="N67" s="154" t="str">
        <f t="shared" si="2"/>
        <v>€</v>
      </c>
      <c r="O67" s="155">
        <v>1</v>
      </c>
      <c r="P67" s="155">
        <v>1</v>
      </c>
      <c r="Q67" s="19"/>
      <c r="R67" s="155"/>
      <c r="S67" s="72" t="str">
        <f>IF(T_MEASURES[[#This Row],[No risk (0)]]=1,"■","")</f>
        <v>■</v>
      </c>
      <c r="T67" s="73" t="str">
        <f>IF(T_MEASURES[[#This Row],[Low risk (1)]]=1,"■","")</f>
        <v>■</v>
      </c>
      <c r="U67" s="74" t="str">
        <f>IF(T_MEASURES[[#This Row],[Medium risk (2)]]=1,"■","")</f>
        <v/>
      </c>
      <c r="V67" s="71" t="str">
        <f>IF(T_MEASURES[[#This Row],[High risk (3)]]=1,"■","")</f>
        <v/>
      </c>
      <c r="W67" s="18" t="str">
        <f t="shared" si="1"/>
        <v>2. Low (Yellow)</v>
      </c>
      <c r="X67" s="18">
        <f>COUNT(T_MEASURES[[#This Row],[Buildings and public facilities]:[Coordination]])</f>
        <v>1</v>
      </c>
      <c r="Y67" s="18"/>
      <c r="Z67" s="18" t="str">
        <f>IF(T_MEASURES[[#This Row],[Buildings and public facilities]]=1,"Yes","No")</f>
        <v>No</v>
      </c>
      <c r="AA67" s="18"/>
      <c r="AB67" s="18" t="str">
        <f>IF(T_MEASURES[[#This Row],[Urban planning]]=1,"Yes","No")</f>
        <v>No</v>
      </c>
      <c r="AC67" s="18"/>
      <c r="AD67" s="18" t="str">
        <f>IF(T_MEASURES[[#This Row],[Culture and Sports]],"Yes","No")</f>
        <v>No</v>
      </c>
      <c r="AE67" s="18"/>
      <c r="AF67" s="18" t="str">
        <f>IF(T_MEASURES[[#This Row],[Tourism]],"Yes","No")</f>
        <v>No</v>
      </c>
      <c r="AG67" s="18"/>
      <c r="AH67" s="18" t="str">
        <f>IF(T_MEASURES[[#This Row],[Occupational risks]],"Yes","No")</f>
        <v>No</v>
      </c>
      <c r="AI67" s="18"/>
      <c r="AJ67" s="18" t="str">
        <f>IF(T_MEASURES[[#This Row],[Education]],"Yes","No")</f>
        <v>No</v>
      </c>
      <c r="AK67" s="18"/>
      <c r="AL67" s="18" t="str">
        <f>IF(T_MEASURES[[#This Row],[Social Services]],"Yes","No")</f>
        <v>No</v>
      </c>
      <c r="AM67" s="18"/>
      <c r="AN67" s="18" t="str">
        <f>IF(T_MEASURES[[#This Row],[Emergency Services and Police]],"Yes","No")</f>
        <v>No</v>
      </c>
      <c r="AO67" s="18"/>
      <c r="AP67" s="18" t="str">
        <f>IF(T_MEASURES[[#This Row],[Parks and gardens (Urban Green Infrastructure)]],"Yes","No")</f>
        <v>No</v>
      </c>
      <c r="AQ67" s="18"/>
      <c r="AR67" s="18" t="str">
        <f>IF(T_MEASURES[[#This Row],[Transport]],"Yes","No")</f>
        <v>No</v>
      </c>
      <c r="AS67" s="158">
        <v>1</v>
      </c>
      <c r="AT67" s="1" t="str">
        <f>IF(T_MEASURES[[#This Row],[Coordination]],"Yes","No")</f>
        <v>Yes</v>
      </c>
      <c r="AU67" s="2">
        <v>1</v>
      </c>
      <c r="AV67" s="1">
        <v>1</v>
      </c>
      <c r="AW67" s="1">
        <v>1</v>
      </c>
      <c r="AX67" s="1">
        <v>1</v>
      </c>
      <c r="AY67" s="3">
        <v>1</v>
      </c>
      <c r="AZ67" s="86">
        <f>SUMPRODUCT($AT$15:$AX$15,T_MEASURES[[#This Row],[&lt;5.000]:[&gt;100.000]])</f>
        <v>1</v>
      </c>
      <c r="BA67" s="1">
        <v>1</v>
      </c>
      <c r="BB67" s="1">
        <v>1</v>
      </c>
      <c r="BC67" s="1">
        <v>1</v>
      </c>
      <c r="BD67" s="1">
        <v>1</v>
      </c>
      <c r="BE67" s="1">
        <v>1</v>
      </c>
      <c r="BF67" s="1">
        <v>1</v>
      </c>
      <c r="BG67" s="1">
        <v>1</v>
      </c>
      <c r="BH67" s="86" cm="1">
        <f t="array" ref="BH67">SUMPRODUCT(--((T_MEASURES[[#This Row],[Health or social care centers]:[Schools / Educational centers]] + $AZ$15:$BF$15)&gt;0))</f>
        <v>7</v>
      </c>
      <c r="BI67" s="1">
        <v>0</v>
      </c>
      <c r="BJ67" s="1">
        <v>0</v>
      </c>
      <c r="BK67" s="1">
        <v>1</v>
      </c>
      <c r="BL67" s="1">
        <v>1</v>
      </c>
      <c r="BM67" s="1">
        <v>3</v>
      </c>
      <c r="BN67" s="1">
        <v>2</v>
      </c>
      <c r="BO67" s="1">
        <v>3</v>
      </c>
      <c r="BP67" s="1">
        <v>3</v>
      </c>
      <c r="BQ67" s="96" cm="1">
        <f t="array" ref="BQ67">T_MEASURES[[#This Row],[Apply size]]*(SUMPRODUCT(T_MEASURES[[#This Row],[C1_Urban Cooling]:[C8_Time]],TRANSPOSE('2.WEIGHTS'!$L$12:$L$19))+(ROW(C67)-ROW($C$18)+1)*0.0000000001)*100</f>
        <v>162.5000005</v>
      </c>
      <c r="BR67" s="21"/>
      <c r="BS67" s="38"/>
    </row>
    <row r="68" spans="1:71" ht="33.6" x14ac:dyDescent="0.3">
      <c r="A68" s="21"/>
      <c r="B68" s="38"/>
      <c r="C68" s="21"/>
      <c r="D68" s="86">
        <f>IF(T_MEASURES[[#This Row],[Weight Criterion]]&lt;=0,"",_xlfn.RANK.EQ(T_MEASURES[[#This Row],[Weight Criterion]],T_MEASURES[Weight Criterion]))</f>
        <v>124</v>
      </c>
      <c r="E68" s="152" t="s">
        <v>228</v>
      </c>
      <c r="F68" s="151" t="s">
        <v>55</v>
      </c>
      <c r="G68" s="151" t="s">
        <v>44</v>
      </c>
      <c r="H68" s="151" t="s">
        <v>145</v>
      </c>
      <c r="I68" s="151" t="s">
        <v>229</v>
      </c>
      <c r="J68" s="151"/>
      <c r="K68" s="153">
        <v>1</v>
      </c>
      <c r="L68" s="18"/>
      <c r="M68" s="18"/>
      <c r="N68" s="154" t="str">
        <f t="shared" si="2"/>
        <v>€</v>
      </c>
      <c r="O68" s="155">
        <v>1</v>
      </c>
      <c r="P68" s="155">
        <v>1</v>
      </c>
      <c r="Q68" s="19"/>
      <c r="R68" s="155"/>
      <c r="S68" s="72" t="str">
        <f>IF(T_MEASURES[[#This Row],[No risk (0)]]=1,"■","")</f>
        <v>■</v>
      </c>
      <c r="T68" s="73" t="str">
        <f>IF(T_MEASURES[[#This Row],[Low risk (1)]]=1,"■","")</f>
        <v>■</v>
      </c>
      <c r="U68" s="74" t="str">
        <f>IF(T_MEASURES[[#This Row],[Medium risk (2)]]=1,"■","")</f>
        <v/>
      </c>
      <c r="V68" s="71" t="str">
        <f>IF(T_MEASURES[[#This Row],[High risk (3)]]=1,"■","")</f>
        <v/>
      </c>
      <c r="W68" s="18" t="str">
        <f t="shared" si="1"/>
        <v>2. Low (Yellow)</v>
      </c>
      <c r="X68" s="18">
        <f>COUNT(T_MEASURES[[#This Row],[Buildings and public facilities]:[Coordination]])</f>
        <v>1</v>
      </c>
      <c r="Y68" s="18"/>
      <c r="Z68" s="18" t="str">
        <f>IF(T_MEASURES[[#This Row],[Buildings and public facilities]]=1,"Yes","No")</f>
        <v>No</v>
      </c>
      <c r="AA68" s="18"/>
      <c r="AB68" s="18" t="str">
        <f>IF(T_MEASURES[[#This Row],[Urban planning]]=1,"Yes","No")</f>
        <v>No</v>
      </c>
      <c r="AC68" s="18"/>
      <c r="AD68" s="18" t="str">
        <f>IF(T_MEASURES[[#This Row],[Culture and Sports]],"Yes","No")</f>
        <v>No</v>
      </c>
      <c r="AE68" s="18"/>
      <c r="AF68" s="18" t="str">
        <f>IF(T_MEASURES[[#This Row],[Tourism]],"Yes","No")</f>
        <v>No</v>
      </c>
      <c r="AG68" s="18"/>
      <c r="AH68" s="18" t="str">
        <f>IF(T_MEASURES[[#This Row],[Occupational risks]],"Yes","No")</f>
        <v>No</v>
      </c>
      <c r="AI68" s="18"/>
      <c r="AJ68" s="18" t="str">
        <f>IF(T_MEASURES[[#This Row],[Education]],"Yes","No")</f>
        <v>No</v>
      </c>
      <c r="AK68" s="18"/>
      <c r="AL68" s="18" t="str">
        <f>IF(T_MEASURES[[#This Row],[Social Services]],"Yes","No")</f>
        <v>No</v>
      </c>
      <c r="AM68" s="18"/>
      <c r="AN68" s="18" t="str">
        <f>IF(T_MEASURES[[#This Row],[Emergency Services and Police]],"Yes","No")</f>
        <v>No</v>
      </c>
      <c r="AO68" s="18"/>
      <c r="AP68" s="18" t="str">
        <f>IF(T_MEASURES[[#This Row],[Parks and gardens (Urban Green Infrastructure)]],"Yes","No")</f>
        <v>No</v>
      </c>
      <c r="AQ68" s="18"/>
      <c r="AR68" s="18" t="str">
        <f>IF(T_MEASURES[[#This Row],[Transport]],"Yes","No")</f>
        <v>No</v>
      </c>
      <c r="AS68" s="158">
        <v>1</v>
      </c>
      <c r="AT68" s="1" t="str">
        <f>IF(T_MEASURES[[#This Row],[Coordination]],"Yes","No")</f>
        <v>Yes</v>
      </c>
      <c r="AU68" s="2">
        <v>1</v>
      </c>
      <c r="AV68" s="1">
        <v>1</v>
      </c>
      <c r="AW68" s="1">
        <v>1</v>
      </c>
      <c r="AX68" s="1">
        <v>1</v>
      </c>
      <c r="AY68" s="3">
        <v>1</v>
      </c>
      <c r="AZ68" s="86">
        <f>SUMPRODUCT($AT$15:$AX$15,T_MEASURES[[#This Row],[&lt;5.000]:[&gt;100.000]])</f>
        <v>1</v>
      </c>
      <c r="BA68" s="1">
        <v>1</v>
      </c>
      <c r="BB68" s="1">
        <v>1</v>
      </c>
      <c r="BC68" s="1">
        <v>1</v>
      </c>
      <c r="BD68" s="1">
        <v>1</v>
      </c>
      <c r="BE68" s="1">
        <v>1</v>
      </c>
      <c r="BF68" s="1">
        <v>1</v>
      </c>
      <c r="BG68" s="1">
        <v>1</v>
      </c>
      <c r="BH68" s="86" cm="1">
        <f t="array" ref="BH68">SUMPRODUCT(--((T_MEASURES[[#This Row],[Health or social care centers]:[Schools / Educational centers]] + $AZ$15:$BF$15)&gt;0))</f>
        <v>7</v>
      </c>
      <c r="BI68" s="88">
        <v>0</v>
      </c>
      <c r="BJ68" s="88">
        <v>0</v>
      </c>
      <c r="BK68" s="88">
        <v>1</v>
      </c>
      <c r="BL68" s="88">
        <v>1</v>
      </c>
      <c r="BM68" s="88">
        <v>3</v>
      </c>
      <c r="BN68" s="88">
        <v>2</v>
      </c>
      <c r="BO68" s="88">
        <v>3</v>
      </c>
      <c r="BP68" s="88">
        <v>2</v>
      </c>
      <c r="BQ68" s="96" cm="1">
        <f t="array" ref="BQ68">T_MEASURES[[#This Row],[Apply size]]*(SUMPRODUCT(T_MEASURES[[#This Row],[C1_Urban Cooling]:[C8_Time]],TRANSPOSE('2.WEIGHTS'!$L$12:$L$19))+(ROW(C68)-ROW($C$18)+1)*0.0000000001)*100</f>
        <v>150.00000051000001</v>
      </c>
      <c r="BR68" s="21"/>
      <c r="BS68" s="38"/>
    </row>
    <row r="69" spans="1:71" ht="33.6" x14ac:dyDescent="0.3">
      <c r="A69" s="21"/>
      <c r="B69" s="38"/>
      <c r="C69" s="21"/>
      <c r="D69" s="86">
        <f>IF(T_MEASURES[[#This Row],[Weight Criterion]]&lt;=0,"",_xlfn.RANK.EQ(T_MEASURES[[#This Row],[Weight Criterion]],T_MEASURES[Weight Criterion]))</f>
        <v>123</v>
      </c>
      <c r="E69" s="152" t="s">
        <v>230</v>
      </c>
      <c r="F69" s="151" t="s">
        <v>55</v>
      </c>
      <c r="G69" s="151" t="s">
        <v>42</v>
      </c>
      <c r="H69" s="151" t="s">
        <v>126</v>
      </c>
      <c r="I69" s="151" t="s">
        <v>231</v>
      </c>
      <c r="J69" s="151"/>
      <c r="K69" s="153">
        <v>1</v>
      </c>
      <c r="L69" s="18"/>
      <c r="M69" s="18"/>
      <c r="N69" s="154" t="str">
        <f t="shared" si="2"/>
        <v>€</v>
      </c>
      <c r="O69" s="155">
        <v>1</v>
      </c>
      <c r="P69" s="155">
        <v>1</v>
      </c>
      <c r="Q69" s="19"/>
      <c r="R69" s="155"/>
      <c r="S69" s="72" t="str">
        <f>IF(T_MEASURES[[#This Row],[No risk (0)]]=1,"■","")</f>
        <v>■</v>
      </c>
      <c r="T69" s="73" t="str">
        <f>IF(T_MEASURES[[#This Row],[Low risk (1)]]=1,"■","")</f>
        <v>■</v>
      </c>
      <c r="U69" s="74" t="str">
        <f>IF(T_MEASURES[[#This Row],[Medium risk (2)]]=1,"■","")</f>
        <v/>
      </c>
      <c r="V69" s="71" t="str">
        <f>IF(T_MEASURES[[#This Row],[High risk (3)]]=1,"■","")</f>
        <v/>
      </c>
      <c r="W69" s="18" t="str">
        <f t="shared" si="1"/>
        <v>2. Low (Yellow)</v>
      </c>
      <c r="X69" s="18">
        <f>COUNT(T_MEASURES[[#This Row],[Buildings and public facilities]:[Coordination]])</f>
        <v>1</v>
      </c>
      <c r="Y69" s="18"/>
      <c r="Z69" s="18" t="str">
        <f>IF(T_MEASURES[[#This Row],[Buildings and public facilities]]=1,"Yes","No")</f>
        <v>No</v>
      </c>
      <c r="AA69" s="18"/>
      <c r="AB69" s="18" t="str">
        <f>IF(T_MEASURES[[#This Row],[Urban planning]]=1,"Yes","No")</f>
        <v>No</v>
      </c>
      <c r="AC69" s="18"/>
      <c r="AD69" s="18" t="str">
        <f>IF(T_MEASURES[[#This Row],[Culture and Sports]],"Yes","No")</f>
        <v>No</v>
      </c>
      <c r="AE69" s="18"/>
      <c r="AF69" s="18" t="str">
        <f>IF(T_MEASURES[[#This Row],[Tourism]],"Yes","No")</f>
        <v>No</v>
      </c>
      <c r="AG69" s="18"/>
      <c r="AH69" s="18" t="str">
        <f>IF(T_MEASURES[[#This Row],[Occupational risks]],"Yes","No")</f>
        <v>No</v>
      </c>
      <c r="AI69" s="18"/>
      <c r="AJ69" s="18" t="str">
        <f>IF(T_MEASURES[[#This Row],[Education]],"Yes","No")</f>
        <v>No</v>
      </c>
      <c r="AK69" s="18"/>
      <c r="AL69" s="18" t="str">
        <f>IF(T_MEASURES[[#This Row],[Social Services]],"Yes","No")</f>
        <v>No</v>
      </c>
      <c r="AM69" s="18"/>
      <c r="AN69" s="18" t="str">
        <f>IF(T_MEASURES[[#This Row],[Emergency Services and Police]],"Yes","No")</f>
        <v>No</v>
      </c>
      <c r="AO69" s="18"/>
      <c r="AP69" s="18" t="str">
        <f>IF(T_MEASURES[[#This Row],[Parks and gardens (Urban Green Infrastructure)]],"Yes","No")</f>
        <v>No</v>
      </c>
      <c r="AQ69" s="18"/>
      <c r="AR69" s="18" t="str">
        <f>IF(T_MEASURES[[#This Row],[Transport]],"Yes","No")</f>
        <v>No</v>
      </c>
      <c r="AS69" s="158">
        <v>1</v>
      </c>
      <c r="AT69" s="1" t="str">
        <f>IF(T_MEASURES[[#This Row],[Coordination]],"Yes","No")</f>
        <v>Yes</v>
      </c>
      <c r="AU69" s="2">
        <v>1</v>
      </c>
      <c r="AV69" s="1">
        <v>1</v>
      </c>
      <c r="AW69" s="1">
        <v>1</v>
      </c>
      <c r="AX69" s="1">
        <v>1</v>
      </c>
      <c r="AY69" s="3">
        <v>1</v>
      </c>
      <c r="AZ69" s="86">
        <f>SUMPRODUCT($AT$15:$AX$15,T_MEASURES[[#This Row],[&lt;5.000]:[&gt;100.000]])</f>
        <v>1</v>
      </c>
      <c r="BA69" s="1">
        <v>1</v>
      </c>
      <c r="BB69" s="1">
        <v>1</v>
      </c>
      <c r="BC69" s="1">
        <v>1</v>
      </c>
      <c r="BD69" s="1">
        <v>1</v>
      </c>
      <c r="BE69" s="1">
        <v>1</v>
      </c>
      <c r="BF69" s="1">
        <v>1</v>
      </c>
      <c r="BG69" s="1">
        <v>1</v>
      </c>
      <c r="BH69" s="86" cm="1">
        <f t="array" ref="BH69">SUMPRODUCT(--((T_MEASURES[[#This Row],[Health or social care centers]:[Schools / Educational centers]] + $AZ$15:$BF$15)&gt;0))</f>
        <v>7</v>
      </c>
      <c r="BI69" s="1">
        <v>0</v>
      </c>
      <c r="BJ69" s="1">
        <v>0</v>
      </c>
      <c r="BK69" s="1">
        <v>1</v>
      </c>
      <c r="BL69" s="1">
        <v>1</v>
      </c>
      <c r="BM69" s="1">
        <v>3</v>
      </c>
      <c r="BN69" s="1">
        <v>2</v>
      </c>
      <c r="BO69" s="1">
        <v>3</v>
      </c>
      <c r="BP69" s="1">
        <v>2</v>
      </c>
      <c r="BQ69" s="96" cm="1">
        <f t="array" ref="BQ69">T_MEASURES[[#This Row],[Apply size]]*(SUMPRODUCT(T_MEASURES[[#This Row],[C1_Urban Cooling]:[C8_Time]],TRANSPOSE('2.WEIGHTS'!$L$12:$L$19))+(ROW(C69)-ROW($C$18)+1)*0.0000000001)*100</f>
        <v>150.00000051999999</v>
      </c>
      <c r="BR69" s="21"/>
      <c r="BS69" s="38"/>
    </row>
    <row r="70" spans="1:71" ht="33.6" x14ac:dyDescent="0.3">
      <c r="A70" s="21"/>
      <c r="B70" s="38"/>
      <c r="C70" s="21"/>
      <c r="D70" s="86">
        <f>IF(T_MEASURES[[#This Row],[Weight Criterion]]&lt;=0,"",_xlfn.RANK.EQ(T_MEASURES[[#This Row],[Weight Criterion]],T_MEASURES[Weight Criterion]))</f>
        <v>129</v>
      </c>
      <c r="E70" s="152" t="s">
        <v>232</v>
      </c>
      <c r="F70" s="151" t="s">
        <v>55</v>
      </c>
      <c r="G70" s="151" t="s">
        <v>41</v>
      </c>
      <c r="H70" s="151" t="s">
        <v>132</v>
      </c>
      <c r="I70" s="151" t="s">
        <v>233</v>
      </c>
      <c r="J70" s="151"/>
      <c r="K70" s="153"/>
      <c r="L70" s="18">
        <v>1</v>
      </c>
      <c r="M70" s="18"/>
      <c r="N70" s="154" t="str">
        <f t="shared" si="2"/>
        <v>€€</v>
      </c>
      <c r="O70" s="155">
        <v>1</v>
      </c>
      <c r="P70" s="155">
        <v>1</v>
      </c>
      <c r="Q70" s="19"/>
      <c r="R70" s="155"/>
      <c r="S70" s="72" t="str">
        <f>IF(T_MEASURES[[#This Row],[No risk (0)]]=1,"■","")</f>
        <v>■</v>
      </c>
      <c r="T70" s="73" t="str">
        <f>IF(T_MEASURES[[#This Row],[Low risk (1)]]=1,"■","")</f>
        <v>■</v>
      </c>
      <c r="U70" s="74" t="str">
        <f>IF(T_MEASURES[[#This Row],[Medium risk (2)]]=1,"■","")</f>
        <v/>
      </c>
      <c r="V70" s="71" t="str">
        <f>IF(T_MEASURES[[#This Row],[High risk (3)]]=1,"■","")</f>
        <v/>
      </c>
      <c r="W70" s="18" t="str">
        <f t="shared" si="1"/>
        <v>2. Low (Yellow)</v>
      </c>
      <c r="X70" s="18">
        <f>COUNT(T_MEASURES[[#This Row],[Buildings and public facilities]:[Coordination]])</f>
        <v>4</v>
      </c>
      <c r="Y70" s="18">
        <v>1</v>
      </c>
      <c r="Z70" s="18" t="str">
        <f>IF(T_MEASURES[[#This Row],[Buildings and public facilities]]=1,"Yes","No")</f>
        <v>Yes</v>
      </c>
      <c r="AA70" s="18"/>
      <c r="AB70" s="18" t="str">
        <f>IF(T_MEASURES[[#This Row],[Urban planning]]=1,"Yes","No")</f>
        <v>No</v>
      </c>
      <c r="AC70" s="18">
        <v>1</v>
      </c>
      <c r="AD70" s="18" t="str">
        <f>IF(T_MEASURES[[#This Row],[Culture and Sports]],"Yes","No")</f>
        <v>Yes</v>
      </c>
      <c r="AE70" s="18"/>
      <c r="AF70" s="18" t="str">
        <f>IF(T_MEASURES[[#This Row],[Tourism]],"Yes","No")</f>
        <v>No</v>
      </c>
      <c r="AG70" s="18"/>
      <c r="AH70" s="18" t="str">
        <f>IF(T_MEASURES[[#This Row],[Occupational risks]],"Yes","No")</f>
        <v>No</v>
      </c>
      <c r="AI70" s="18">
        <v>1</v>
      </c>
      <c r="AJ70" s="18" t="str">
        <f>IF(T_MEASURES[[#This Row],[Education]],"Yes","No")</f>
        <v>Yes</v>
      </c>
      <c r="AK70" s="18">
        <v>1</v>
      </c>
      <c r="AL70" s="18" t="str">
        <f>IF(T_MEASURES[[#This Row],[Social Services]],"Yes","No")</f>
        <v>Yes</v>
      </c>
      <c r="AM70" s="18"/>
      <c r="AN70" s="18" t="str">
        <f>IF(T_MEASURES[[#This Row],[Emergency Services and Police]],"Yes","No")</f>
        <v>No</v>
      </c>
      <c r="AO70" s="18"/>
      <c r="AP70" s="18" t="str">
        <f>IF(T_MEASURES[[#This Row],[Parks and gardens (Urban Green Infrastructure)]],"Yes","No")</f>
        <v>No</v>
      </c>
      <c r="AQ70" s="18"/>
      <c r="AR70" s="18" t="str">
        <f>IF(T_MEASURES[[#This Row],[Transport]],"Yes","No")</f>
        <v>No</v>
      </c>
      <c r="AS70" s="158"/>
      <c r="AT70" s="1" t="str">
        <f>IF(T_MEASURES[[#This Row],[Coordination]],"Yes","No")</f>
        <v>No</v>
      </c>
      <c r="AU70" s="2">
        <v>1</v>
      </c>
      <c r="AV70" s="1">
        <v>1</v>
      </c>
      <c r="AW70" s="1">
        <v>1</v>
      </c>
      <c r="AX70" s="1">
        <v>1</v>
      </c>
      <c r="AY70" s="3">
        <v>1</v>
      </c>
      <c r="AZ70" s="86">
        <f>SUMPRODUCT($AT$15:$AX$15,T_MEASURES[[#This Row],[&lt;5.000]:[&gt;100.000]])</f>
        <v>1</v>
      </c>
      <c r="BA70" s="1">
        <v>1</v>
      </c>
      <c r="BB70" s="1">
        <v>1</v>
      </c>
      <c r="BC70" s="1">
        <v>1</v>
      </c>
      <c r="BD70" s="1">
        <v>1</v>
      </c>
      <c r="BE70" s="1">
        <v>1</v>
      </c>
      <c r="BF70" s="1">
        <v>1</v>
      </c>
      <c r="BG70" s="1">
        <v>1</v>
      </c>
      <c r="BH70" s="86" cm="1">
        <f t="array" ref="BH70">SUMPRODUCT(--((T_MEASURES[[#This Row],[Health or social care centers]:[Schools / Educational centers]] + $AZ$15:$BF$15)&gt;0))</f>
        <v>7</v>
      </c>
      <c r="BI70" s="88">
        <v>2</v>
      </c>
      <c r="BJ70" s="88">
        <v>0</v>
      </c>
      <c r="BK70" s="88">
        <v>1</v>
      </c>
      <c r="BL70" s="88">
        <v>2</v>
      </c>
      <c r="BM70" s="88">
        <v>1</v>
      </c>
      <c r="BN70" s="88">
        <v>1</v>
      </c>
      <c r="BO70" s="88">
        <v>2</v>
      </c>
      <c r="BP70" s="88">
        <v>2</v>
      </c>
      <c r="BQ70" s="96" cm="1">
        <f t="array" ref="BQ70">T_MEASURES[[#This Row],[Apply size]]*(SUMPRODUCT(T_MEASURES[[#This Row],[C1_Urban Cooling]:[C8_Time]],TRANSPOSE('2.WEIGHTS'!$L$12:$L$19))+(ROW(C70)-ROW($C$18)+1)*0.0000000001)*100</f>
        <v>137.50000052999999</v>
      </c>
      <c r="BR70" s="21"/>
      <c r="BS70" s="38"/>
    </row>
    <row r="71" spans="1:71" ht="33.6" x14ac:dyDescent="0.3">
      <c r="A71" s="21"/>
      <c r="B71" s="38"/>
      <c r="C71" s="21"/>
      <c r="D71" s="86">
        <f>IF(T_MEASURES[[#This Row],[Weight Criterion]]&lt;=0,"",_xlfn.RANK.EQ(T_MEASURES[[#This Row],[Weight Criterion]],T_MEASURES[Weight Criterion]))</f>
        <v>138</v>
      </c>
      <c r="E71" s="152" t="s">
        <v>234</v>
      </c>
      <c r="F71" s="151" t="s">
        <v>55</v>
      </c>
      <c r="G71" s="151" t="s">
        <v>41</v>
      </c>
      <c r="H71" s="151" t="s">
        <v>132</v>
      </c>
      <c r="I71" s="151" t="s">
        <v>235</v>
      </c>
      <c r="J71" s="151"/>
      <c r="K71" s="153"/>
      <c r="L71" s="18"/>
      <c r="M71" s="18">
        <v>1</v>
      </c>
      <c r="N71" s="154" t="str">
        <f t="shared" si="2"/>
        <v>€€€</v>
      </c>
      <c r="O71" s="155">
        <v>1</v>
      </c>
      <c r="P71" s="155"/>
      <c r="Q71" s="19"/>
      <c r="R71" s="155"/>
      <c r="S71" s="72" t="str">
        <f>IF(T_MEASURES[[#This Row],[No risk (0)]]=1,"■","")</f>
        <v>■</v>
      </c>
      <c r="T71" s="73" t="str">
        <f>IF(T_MEASURES[[#This Row],[Low risk (1)]]=1,"■","")</f>
        <v/>
      </c>
      <c r="U71" s="74" t="str">
        <f>IF(T_MEASURES[[#This Row],[Medium risk (2)]]=1,"■","")</f>
        <v/>
      </c>
      <c r="V71" s="71" t="str">
        <f>IF(T_MEASURES[[#This Row],[High risk (3)]]=1,"■","")</f>
        <v/>
      </c>
      <c r="W71" s="18" t="str">
        <f t="shared" si="1"/>
        <v>1. No Risk (Green)</v>
      </c>
      <c r="X71" s="18">
        <f>COUNT(T_MEASURES[[#This Row],[Buildings and public facilities]:[Coordination]])</f>
        <v>4</v>
      </c>
      <c r="Y71" s="18">
        <v>1</v>
      </c>
      <c r="Z71" s="18" t="str">
        <f>IF(T_MEASURES[[#This Row],[Buildings and public facilities]]=1,"Yes","No")</f>
        <v>Yes</v>
      </c>
      <c r="AA71" s="18"/>
      <c r="AB71" s="18" t="str">
        <f>IF(T_MEASURES[[#This Row],[Urban planning]]=1,"Yes","No")</f>
        <v>No</v>
      </c>
      <c r="AC71" s="18">
        <v>1</v>
      </c>
      <c r="AD71" s="18" t="str">
        <f>IF(T_MEASURES[[#This Row],[Culture and Sports]],"Yes","No")</f>
        <v>Yes</v>
      </c>
      <c r="AE71" s="18"/>
      <c r="AF71" s="18" t="str">
        <f>IF(T_MEASURES[[#This Row],[Tourism]],"Yes","No")</f>
        <v>No</v>
      </c>
      <c r="AG71" s="18"/>
      <c r="AH71" s="18" t="str">
        <f>IF(T_MEASURES[[#This Row],[Occupational risks]],"Yes","No")</f>
        <v>No</v>
      </c>
      <c r="AI71" s="18">
        <v>1</v>
      </c>
      <c r="AJ71" s="18" t="str">
        <f>IF(T_MEASURES[[#This Row],[Education]],"Yes","No")</f>
        <v>Yes</v>
      </c>
      <c r="AK71" s="18">
        <v>1</v>
      </c>
      <c r="AL71" s="18" t="str">
        <f>IF(T_MEASURES[[#This Row],[Social Services]],"Yes","No")</f>
        <v>Yes</v>
      </c>
      <c r="AM71" s="18"/>
      <c r="AN71" s="18" t="str">
        <f>IF(T_MEASURES[[#This Row],[Emergency Services and Police]],"Yes","No")</f>
        <v>No</v>
      </c>
      <c r="AO71" s="18"/>
      <c r="AP71" s="18" t="str">
        <f>IF(T_MEASURES[[#This Row],[Parks and gardens (Urban Green Infrastructure)]],"Yes","No")</f>
        <v>No</v>
      </c>
      <c r="AQ71" s="18"/>
      <c r="AR71" s="18" t="str">
        <f>IF(T_MEASURES[[#This Row],[Transport]],"Yes","No")</f>
        <v>No</v>
      </c>
      <c r="AS71" s="158"/>
      <c r="AT71" s="1" t="str">
        <f>IF(T_MEASURES[[#This Row],[Coordination]],"Yes","No")</f>
        <v>No</v>
      </c>
      <c r="AU71" s="2">
        <v>1</v>
      </c>
      <c r="AV71" s="1">
        <v>1</v>
      </c>
      <c r="AW71" s="1">
        <v>1</v>
      </c>
      <c r="AX71" s="1">
        <v>1</v>
      </c>
      <c r="AY71" s="3">
        <v>1</v>
      </c>
      <c r="AZ71" s="86">
        <f>SUMPRODUCT($AT$15:$AX$15,T_MEASURES[[#This Row],[&lt;5.000]:[&gt;100.000]])</f>
        <v>1</v>
      </c>
      <c r="BA71" s="1">
        <v>1</v>
      </c>
      <c r="BB71" s="1">
        <v>1</v>
      </c>
      <c r="BC71" s="1">
        <v>1</v>
      </c>
      <c r="BD71" s="1">
        <v>1</v>
      </c>
      <c r="BE71" s="1">
        <v>1</v>
      </c>
      <c r="BF71" s="1">
        <v>1</v>
      </c>
      <c r="BG71" s="1">
        <v>1</v>
      </c>
      <c r="BH71" s="86" cm="1">
        <f t="array" ref="BH71">SUMPRODUCT(--((T_MEASURES[[#This Row],[Health or social care centers]:[Schools / Educational centers]] + $AZ$15:$BF$15)&gt;0))</f>
        <v>7</v>
      </c>
      <c r="BI71" s="1">
        <v>1</v>
      </c>
      <c r="BJ71" s="1">
        <v>0</v>
      </c>
      <c r="BK71" s="1">
        <v>1</v>
      </c>
      <c r="BL71" s="1">
        <v>2</v>
      </c>
      <c r="BM71" s="1">
        <v>1</v>
      </c>
      <c r="BN71" s="1">
        <v>1</v>
      </c>
      <c r="BO71" s="1">
        <v>1</v>
      </c>
      <c r="BP71" s="1">
        <v>2</v>
      </c>
      <c r="BQ71" s="96" cm="1">
        <f t="array" ref="BQ71">T_MEASURES[[#This Row],[Apply size]]*(SUMPRODUCT(T_MEASURES[[#This Row],[C1_Urban Cooling]:[C8_Time]],TRANSPOSE('2.WEIGHTS'!$L$12:$L$19))+(ROW(C71)-ROW($C$18)+1)*0.0000000001)*100</f>
        <v>112.50000054</v>
      </c>
      <c r="BR71" s="21"/>
      <c r="BS71" s="38"/>
    </row>
    <row r="72" spans="1:71" ht="33.6" x14ac:dyDescent="0.3">
      <c r="A72" s="21"/>
      <c r="B72" s="38"/>
      <c r="C72" s="21"/>
      <c r="D72" s="86">
        <f>IF(T_MEASURES[[#This Row],[Weight Criterion]]&lt;=0,"",_xlfn.RANK.EQ(T_MEASURES[[#This Row],[Weight Criterion]],T_MEASURES[Weight Criterion]))</f>
        <v>137</v>
      </c>
      <c r="E72" s="152" t="s">
        <v>236</v>
      </c>
      <c r="F72" s="151" t="s">
        <v>55</v>
      </c>
      <c r="G72" s="151" t="s">
        <v>41</v>
      </c>
      <c r="H72" s="151" t="s">
        <v>132</v>
      </c>
      <c r="I72" s="151" t="s">
        <v>237</v>
      </c>
      <c r="J72" s="151"/>
      <c r="K72" s="153"/>
      <c r="L72" s="18"/>
      <c r="M72" s="18">
        <v>1</v>
      </c>
      <c r="N72" s="154" t="str">
        <f t="shared" si="2"/>
        <v>€€€</v>
      </c>
      <c r="O72" s="155">
        <v>1</v>
      </c>
      <c r="P72" s="155"/>
      <c r="Q72" s="19"/>
      <c r="R72" s="155"/>
      <c r="S72" s="72" t="str">
        <f>IF(T_MEASURES[[#This Row],[No risk (0)]]=1,"■","")</f>
        <v>■</v>
      </c>
      <c r="T72" s="73" t="str">
        <f>IF(T_MEASURES[[#This Row],[Low risk (1)]]=1,"■","")</f>
        <v/>
      </c>
      <c r="U72" s="74" t="str">
        <f>IF(T_MEASURES[[#This Row],[Medium risk (2)]]=1,"■","")</f>
        <v/>
      </c>
      <c r="V72" s="71" t="str">
        <f>IF(T_MEASURES[[#This Row],[High risk (3)]]=1,"■","")</f>
        <v/>
      </c>
      <c r="W72" s="18" t="str">
        <f t="shared" si="1"/>
        <v>1. No Risk (Green)</v>
      </c>
      <c r="X72" s="18">
        <f>COUNT(T_MEASURES[[#This Row],[Buildings and public facilities]:[Coordination]])</f>
        <v>1</v>
      </c>
      <c r="Y72" s="18"/>
      <c r="Z72" s="18" t="str">
        <f>IF(T_MEASURES[[#This Row],[Buildings and public facilities]]=1,"Yes","No")</f>
        <v>No</v>
      </c>
      <c r="AA72" s="18"/>
      <c r="AB72" s="18" t="str">
        <f>IF(T_MEASURES[[#This Row],[Urban planning]]=1,"Yes","No")</f>
        <v>No</v>
      </c>
      <c r="AC72" s="18"/>
      <c r="AD72" s="18" t="str">
        <f>IF(T_MEASURES[[#This Row],[Culture and Sports]],"Yes","No")</f>
        <v>No</v>
      </c>
      <c r="AE72" s="18"/>
      <c r="AF72" s="18" t="str">
        <f>IF(T_MEASURES[[#This Row],[Tourism]],"Yes","No")</f>
        <v>No</v>
      </c>
      <c r="AG72" s="18"/>
      <c r="AH72" s="18" t="str">
        <f>IF(T_MEASURES[[#This Row],[Occupational risks]],"Yes","No")</f>
        <v>No</v>
      </c>
      <c r="AI72" s="18"/>
      <c r="AJ72" s="18" t="str">
        <f>IF(T_MEASURES[[#This Row],[Education]],"Yes","No")</f>
        <v>No</v>
      </c>
      <c r="AK72" s="18"/>
      <c r="AL72" s="18" t="str">
        <f>IF(T_MEASURES[[#This Row],[Social Services]],"Yes","No")</f>
        <v>No</v>
      </c>
      <c r="AM72" s="18"/>
      <c r="AN72" s="18" t="str">
        <f>IF(T_MEASURES[[#This Row],[Emergency Services and Police]],"Yes","No")</f>
        <v>No</v>
      </c>
      <c r="AO72" s="18"/>
      <c r="AP72" s="18" t="str">
        <f>IF(T_MEASURES[[#This Row],[Parks and gardens (Urban Green Infrastructure)]],"Yes","No")</f>
        <v>No</v>
      </c>
      <c r="AQ72" s="18">
        <v>1</v>
      </c>
      <c r="AR72" s="18" t="str">
        <f>IF(T_MEASURES[[#This Row],[Transport]],"Yes","No")</f>
        <v>Yes</v>
      </c>
      <c r="AS72" s="158"/>
      <c r="AT72" s="1" t="str">
        <f>IF(T_MEASURES[[#This Row],[Coordination]],"Yes","No")</f>
        <v>No</v>
      </c>
      <c r="AU72" s="2">
        <v>1</v>
      </c>
      <c r="AV72" s="1">
        <v>1</v>
      </c>
      <c r="AW72" s="1">
        <v>1</v>
      </c>
      <c r="AX72" s="1">
        <v>1</v>
      </c>
      <c r="AY72" s="3">
        <v>1</v>
      </c>
      <c r="AZ72" s="86">
        <f>SUMPRODUCT($AT$15:$AX$15,T_MEASURES[[#This Row],[&lt;5.000]:[&gt;100.000]])</f>
        <v>1</v>
      </c>
      <c r="BA72" s="1">
        <v>1</v>
      </c>
      <c r="BB72" s="1">
        <v>1</v>
      </c>
      <c r="BC72" s="1">
        <v>1</v>
      </c>
      <c r="BD72" s="1">
        <v>1</v>
      </c>
      <c r="BE72" s="1">
        <v>1</v>
      </c>
      <c r="BF72" s="1">
        <v>1</v>
      </c>
      <c r="BG72" s="1">
        <v>1</v>
      </c>
      <c r="BH72" s="86" cm="1">
        <f t="array" ref="BH72">SUMPRODUCT(--((T_MEASURES[[#This Row],[Health or social care centers]:[Schools / Educational centers]] + $AZ$15:$BF$15)&gt;0))</f>
        <v>7</v>
      </c>
      <c r="BI72" s="88">
        <v>0</v>
      </c>
      <c r="BJ72" s="88">
        <v>0</v>
      </c>
      <c r="BK72" s="88">
        <v>1</v>
      </c>
      <c r="BL72" s="88">
        <v>1</v>
      </c>
      <c r="BM72" s="88">
        <v>1</v>
      </c>
      <c r="BN72" s="88">
        <v>1</v>
      </c>
      <c r="BO72" s="88">
        <v>3</v>
      </c>
      <c r="BP72" s="88">
        <v>2</v>
      </c>
      <c r="BQ72" s="96" cm="1">
        <f t="array" ref="BQ72">T_MEASURES[[#This Row],[Apply size]]*(SUMPRODUCT(T_MEASURES[[#This Row],[C1_Urban Cooling]:[C8_Time]],TRANSPOSE('2.WEIGHTS'!$L$12:$L$19))+(ROW(C72)-ROW($C$18)+1)*0.0000000001)*100</f>
        <v>112.50000055</v>
      </c>
      <c r="BR72" s="21"/>
      <c r="BS72" s="38"/>
    </row>
    <row r="73" spans="1:71" ht="33.6" x14ac:dyDescent="0.3">
      <c r="A73" s="21"/>
      <c r="B73" s="38"/>
      <c r="C73" s="21"/>
      <c r="D73" s="86">
        <f>IF(T_MEASURES[[#This Row],[Weight Criterion]]&lt;=0,"",_xlfn.RANK.EQ(T_MEASURES[[#This Row],[Weight Criterion]],T_MEASURES[Weight Criterion]))</f>
        <v>128</v>
      </c>
      <c r="E73" s="152" t="s">
        <v>238</v>
      </c>
      <c r="F73" s="151" t="s">
        <v>55</v>
      </c>
      <c r="G73" s="151" t="s">
        <v>41</v>
      </c>
      <c r="H73" s="151" t="s">
        <v>129</v>
      </c>
      <c r="I73" s="151" t="s">
        <v>239</v>
      </c>
      <c r="J73" s="151"/>
      <c r="K73" s="153"/>
      <c r="L73" s="18">
        <v>1</v>
      </c>
      <c r="M73" s="18"/>
      <c r="N73" s="154" t="str">
        <f t="shared" si="2"/>
        <v>€€</v>
      </c>
      <c r="O73" s="155">
        <v>1</v>
      </c>
      <c r="P73" s="155">
        <v>1</v>
      </c>
      <c r="Q73" s="19"/>
      <c r="R73" s="155"/>
      <c r="S73" s="72" t="str">
        <f>IF(T_MEASURES[[#This Row],[No risk (0)]]=1,"■","")</f>
        <v>■</v>
      </c>
      <c r="T73" s="73" t="str">
        <f>IF(T_MEASURES[[#This Row],[Low risk (1)]]=1,"■","")</f>
        <v>■</v>
      </c>
      <c r="U73" s="74" t="str">
        <f>IF(T_MEASURES[[#This Row],[Medium risk (2)]]=1,"■","")</f>
        <v/>
      </c>
      <c r="V73" s="71" t="str">
        <f>IF(T_MEASURES[[#This Row],[High risk (3)]]=1,"■","")</f>
        <v/>
      </c>
      <c r="W73" s="18" t="str">
        <f t="shared" si="1"/>
        <v>2. Low (Yellow)</v>
      </c>
      <c r="X73" s="18">
        <f>COUNT(T_MEASURES[[#This Row],[Buildings and public facilities]:[Coordination]])</f>
        <v>0</v>
      </c>
      <c r="Y73" s="18"/>
      <c r="Z73" s="18" t="str">
        <f>IF(T_MEASURES[[#This Row],[Buildings and public facilities]]=1,"Yes","No")</f>
        <v>No</v>
      </c>
      <c r="AA73" s="18"/>
      <c r="AB73" s="18" t="str">
        <f>IF(T_MEASURES[[#This Row],[Urban planning]]=1,"Yes","No")</f>
        <v>No</v>
      </c>
      <c r="AC73" s="18"/>
      <c r="AD73" s="18" t="str">
        <f>IF(T_MEASURES[[#This Row],[Culture and Sports]],"Yes","No")</f>
        <v>No</v>
      </c>
      <c r="AE73" s="18"/>
      <c r="AF73" s="18" t="str">
        <f>IF(T_MEASURES[[#This Row],[Tourism]],"Yes","No")</f>
        <v>No</v>
      </c>
      <c r="AG73" s="18"/>
      <c r="AH73" s="18" t="str">
        <f>IF(T_MEASURES[[#This Row],[Occupational risks]],"Yes","No")</f>
        <v>No</v>
      </c>
      <c r="AI73" s="18"/>
      <c r="AJ73" s="18" t="str">
        <f>IF(T_MEASURES[[#This Row],[Education]],"Yes","No")</f>
        <v>No</v>
      </c>
      <c r="AK73" s="18"/>
      <c r="AL73" s="18" t="str">
        <f>IF(T_MEASURES[[#This Row],[Social Services]],"Yes","No")</f>
        <v>No</v>
      </c>
      <c r="AM73" s="18"/>
      <c r="AN73" s="18" t="str">
        <f>IF(T_MEASURES[[#This Row],[Emergency Services and Police]],"Yes","No")</f>
        <v>No</v>
      </c>
      <c r="AO73" s="18"/>
      <c r="AP73" s="18" t="str">
        <f>IF(T_MEASURES[[#This Row],[Parks and gardens (Urban Green Infrastructure)]],"Yes","No")</f>
        <v>No</v>
      </c>
      <c r="AQ73" s="18"/>
      <c r="AR73" s="18" t="str">
        <f>IF(T_MEASURES[[#This Row],[Transport]],"Yes","No")</f>
        <v>No</v>
      </c>
      <c r="AS73" s="158"/>
      <c r="AT73" s="1" t="str">
        <f>IF(T_MEASURES[[#This Row],[Coordination]],"Yes","No")</f>
        <v>No</v>
      </c>
      <c r="AU73" s="2">
        <v>1</v>
      </c>
      <c r="AV73" s="1">
        <v>1</v>
      </c>
      <c r="AW73" s="1">
        <v>1</v>
      </c>
      <c r="AX73" s="1">
        <v>1</v>
      </c>
      <c r="AY73" s="3">
        <v>1</v>
      </c>
      <c r="AZ73" s="86">
        <f>SUMPRODUCT($AT$15:$AX$15,T_MEASURES[[#This Row],[&lt;5.000]:[&gt;100.000]])</f>
        <v>1</v>
      </c>
      <c r="BA73" s="1">
        <v>1</v>
      </c>
      <c r="BB73" s="1">
        <v>1</v>
      </c>
      <c r="BC73" s="1">
        <v>1</v>
      </c>
      <c r="BD73" s="1">
        <v>1</v>
      </c>
      <c r="BE73" s="1">
        <v>1</v>
      </c>
      <c r="BF73" s="1">
        <v>1</v>
      </c>
      <c r="BG73" s="1">
        <v>1</v>
      </c>
      <c r="BH73" s="86" cm="1">
        <f t="array" ref="BH73">SUMPRODUCT(--((T_MEASURES[[#This Row],[Health or social care centers]:[Schools / Educational centers]] + $AZ$15:$BF$15)&gt;0))</f>
        <v>7</v>
      </c>
      <c r="BI73" s="1">
        <v>0</v>
      </c>
      <c r="BJ73" s="1">
        <v>0</v>
      </c>
      <c r="BK73" s="1">
        <v>1</v>
      </c>
      <c r="BL73" s="1">
        <v>2</v>
      </c>
      <c r="BM73" s="1">
        <v>2</v>
      </c>
      <c r="BN73" s="1">
        <v>2</v>
      </c>
      <c r="BO73" s="1">
        <v>2</v>
      </c>
      <c r="BP73" s="1">
        <v>2</v>
      </c>
      <c r="BQ73" s="96" cm="1">
        <f t="array" ref="BQ73">T_MEASURES[[#This Row],[Apply size]]*(SUMPRODUCT(T_MEASURES[[#This Row],[C1_Urban Cooling]:[C8_Time]],TRANSPOSE('2.WEIGHTS'!$L$12:$L$19))+(ROW(C73)-ROW($C$18)+1)*0.0000000001)*100</f>
        <v>137.50000055999999</v>
      </c>
      <c r="BR73" s="21"/>
      <c r="BS73" s="38"/>
    </row>
    <row r="74" spans="1:71" ht="33.6" x14ac:dyDescent="0.3">
      <c r="A74" s="21"/>
      <c r="B74" s="38"/>
      <c r="C74" s="21"/>
      <c r="D74" s="86">
        <f>IF(T_MEASURES[[#This Row],[Weight Criterion]]&lt;=0,"",_xlfn.RANK.EQ(T_MEASURES[[#This Row],[Weight Criterion]],T_MEASURES[Weight Criterion]))</f>
        <v>122</v>
      </c>
      <c r="E74" s="152" t="s">
        <v>240</v>
      </c>
      <c r="F74" s="150" t="s">
        <v>431</v>
      </c>
      <c r="G74" s="150" t="s">
        <v>42</v>
      </c>
      <c r="H74" s="150" t="s">
        <v>126</v>
      </c>
      <c r="I74" s="150" t="s">
        <v>241</v>
      </c>
      <c r="J74" s="150"/>
      <c r="K74" s="153"/>
      <c r="L74" s="18">
        <v>1</v>
      </c>
      <c r="M74" s="18"/>
      <c r="N74" s="154" t="str">
        <f t="shared" si="2"/>
        <v>€€</v>
      </c>
      <c r="O74" s="155"/>
      <c r="P74" s="155">
        <v>1</v>
      </c>
      <c r="Q74" s="19">
        <v>1</v>
      </c>
      <c r="R74" s="155">
        <v>1</v>
      </c>
      <c r="S74" s="72" t="str">
        <f>IF(T_MEASURES[[#This Row],[No risk (0)]]=1,"■","")</f>
        <v/>
      </c>
      <c r="T74" s="73" t="str">
        <f>IF(T_MEASURES[[#This Row],[Low risk (1)]]=1,"■","")</f>
        <v>■</v>
      </c>
      <c r="U74" s="74" t="str">
        <f>IF(T_MEASURES[[#This Row],[Medium risk (2)]]=1,"■","")</f>
        <v>■</v>
      </c>
      <c r="V74" s="71" t="str">
        <f>IF(T_MEASURES[[#This Row],[High risk (3)]]=1,"■","")</f>
        <v>■</v>
      </c>
      <c r="W74" s="18" t="str">
        <f t="shared" si="1"/>
        <v>4. High (Red)</v>
      </c>
      <c r="X74" s="18">
        <f>COUNT(T_MEASURES[[#This Row],[Buildings and public facilities]:[Coordination]])</f>
        <v>2</v>
      </c>
      <c r="Y74" s="18">
        <v>1</v>
      </c>
      <c r="Z74" s="18" t="str">
        <f>IF(T_MEASURES[[#This Row],[Buildings and public facilities]]=1,"Yes","No")</f>
        <v>Yes</v>
      </c>
      <c r="AA74" s="18"/>
      <c r="AB74" s="18" t="str">
        <f>IF(T_MEASURES[[#This Row],[Urban planning]]=1,"Yes","No")</f>
        <v>No</v>
      </c>
      <c r="AC74" s="18">
        <v>1</v>
      </c>
      <c r="AD74" s="18" t="str">
        <f>IF(T_MEASURES[[#This Row],[Culture and Sports]],"Yes","No")</f>
        <v>Yes</v>
      </c>
      <c r="AE74" s="18"/>
      <c r="AF74" s="18" t="str">
        <f>IF(T_MEASURES[[#This Row],[Tourism]],"Yes","No")</f>
        <v>No</v>
      </c>
      <c r="AG74" s="18"/>
      <c r="AH74" s="18" t="str">
        <f>IF(T_MEASURES[[#This Row],[Occupational risks]],"Yes","No")</f>
        <v>No</v>
      </c>
      <c r="AI74" s="18"/>
      <c r="AJ74" s="18" t="str">
        <f>IF(T_MEASURES[[#This Row],[Education]],"Yes","No")</f>
        <v>No</v>
      </c>
      <c r="AK74" s="18"/>
      <c r="AL74" s="18" t="str">
        <f>IF(T_MEASURES[[#This Row],[Social Services]],"Yes","No")</f>
        <v>No</v>
      </c>
      <c r="AM74" s="18"/>
      <c r="AN74" s="18" t="str">
        <f>IF(T_MEASURES[[#This Row],[Emergency Services and Police]],"Yes","No")</f>
        <v>No</v>
      </c>
      <c r="AO74" s="18"/>
      <c r="AP74" s="18" t="str">
        <f>IF(T_MEASURES[[#This Row],[Parks and gardens (Urban Green Infrastructure)]],"Yes","No")</f>
        <v>No</v>
      </c>
      <c r="AQ74" s="18"/>
      <c r="AR74" s="18" t="str">
        <f>IF(T_MEASURES[[#This Row],[Transport]],"Yes","No")</f>
        <v>No</v>
      </c>
      <c r="AS74" s="158"/>
      <c r="AT74" s="1" t="str">
        <f>IF(T_MEASURES[[#This Row],[Coordination]],"Yes","No")</f>
        <v>No</v>
      </c>
      <c r="AU74" s="2">
        <v>1</v>
      </c>
      <c r="AV74" s="1">
        <v>1</v>
      </c>
      <c r="AW74" s="1">
        <v>1</v>
      </c>
      <c r="AX74" s="1">
        <v>1</v>
      </c>
      <c r="AY74" s="3">
        <v>1</v>
      </c>
      <c r="AZ74" s="86">
        <f>SUMPRODUCT($AT$15:$AX$15,T_MEASURES[[#This Row],[&lt;5.000]:[&gt;100.000]])</f>
        <v>1</v>
      </c>
      <c r="BA74" s="1">
        <v>1</v>
      </c>
      <c r="BB74" s="1">
        <v>1</v>
      </c>
      <c r="BC74" s="1">
        <v>1</v>
      </c>
      <c r="BD74" s="1">
        <v>1</v>
      </c>
      <c r="BE74" s="1">
        <v>1</v>
      </c>
      <c r="BF74" s="1">
        <v>1</v>
      </c>
      <c r="BG74" s="1">
        <v>1</v>
      </c>
      <c r="BH74" s="86" cm="1">
        <f t="array" ref="BH74">SUMPRODUCT(--((T_MEASURES[[#This Row],[Health or social care centers]:[Schools / Educational centers]] + $AZ$15:$BF$15)&gt;0))</f>
        <v>7</v>
      </c>
      <c r="BI74" s="88">
        <v>1</v>
      </c>
      <c r="BJ74" s="88">
        <v>0</v>
      </c>
      <c r="BK74" s="88">
        <v>2</v>
      </c>
      <c r="BL74" s="88">
        <v>1</v>
      </c>
      <c r="BM74" s="88">
        <v>2</v>
      </c>
      <c r="BN74" s="88">
        <v>1</v>
      </c>
      <c r="BO74" s="88">
        <v>2</v>
      </c>
      <c r="BP74" s="88">
        <v>3</v>
      </c>
      <c r="BQ74" s="96" cm="1">
        <f t="array" ref="BQ74">T_MEASURES[[#This Row],[Apply size]]*(SUMPRODUCT(T_MEASURES[[#This Row],[C1_Urban Cooling]:[C8_Time]],TRANSPOSE('2.WEIGHTS'!$L$12:$L$19))+(ROW(C74)-ROW($C$18)+1)*0.0000000001)*100</f>
        <v>150.00000057</v>
      </c>
      <c r="BR74" s="21"/>
      <c r="BS74" s="38"/>
    </row>
    <row r="75" spans="1:71" ht="33.6" x14ac:dyDescent="0.3">
      <c r="A75" s="21"/>
      <c r="B75" s="38"/>
      <c r="C75" s="21"/>
      <c r="D75" s="86">
        <f>IF(T_MEASURES[[#This Row],[Weight Criterion]]&lt;=0,"",_xlfn.RANK.EQ(T_MEASURES[[#This Row],[Weight Criterion]],T_MEASURES[Weight Criterion]))</f>
        <v>38</v>
      </c>
      <c r="E75" s="152" t="s">
        <v>242</v>
      </c>
      <c r="F75" s="150" t="s">
        <v>431</v>
      </c>
      <c r="G75" s="150" t="s">
        <v>41</v>
      </c>
      <c r="H75" s="150" t="s">
        <v>129</v>
      </c>
      <c r="I75" s="150" t="s">
        <v>243</v>
      </c>
      <c r="J75" s="150"/>
      <c r="K75" s="18"/>
      <c r="L75" s="18">
        <v>1</v>
      </c>
      <c r="M75" s="18"/>
      <c r="N75" s="154" t="str">
        <f t="shared" si="2"/>
        <v>€€</v>
      </c>
      <c r="O75" s="155"/>
      <c r="P75" s="155">
        <v>1</v>
      </c>
      <c r="Q75" s="19">
        <v>1</v>
      </c>
      <c r="R75" s="155">
        <v>1</v>
      </c>
      <c r="S75" s="72" t="str">
        <f>IF(T_MEASURES[[#This Row],[No risk (0)]]=1,"■","")</f>
        <v/>
      </c>
      <c r="T75" s="73" t="str">
        <f>IF(T_MEASURES[[#This Row],[Low risk (1)]]=1,"■","")</f>
        <v>■</v>
      </c>
      <c r="U75" s="74" t="str">
        <f>IF(T_MEASURES[[#This Row],[Medium risk (2)]]=1,"■","")</f>
        <v>■</v>
      </c>
      <c r="V75" s="71" t="str">
        <f>IF(T_MEASURES[[#This Row],[High risk (3)]]=1,"■","")</f>
        <v>■</v>
      </c>
      <c r="W75" s="18" t="str">
        <f t="shared" si="1"/>
        <v>4. High (Red)</v>
      </c>
      <c r="X75" s="18">
        <f>COUNT(T_MEASURES[[#This Row],[Buildings and public facilities]:[Coordination]])</f>
        <v>1</v>
      </c>
      <c r="Y75" s="18">
        <v>1</v>
      </c>
      <c r="Z75" s="18" t="str">
        <f>IF(T_MEASURES[[#This Row],[Buildings and public facilities]]=1,"Yes","No")</f>
        <v>Yes</v>
      </c>
      <c r="AA75" s="18"/>
      <c r="AB75" s="18" t="str">
        <f>IF(T_MEASURES[[#This Row],[Urban planning]]=1,"Yes","No")</f>
        <v>No</v>
      </c>
      <c r="AC75" s="18"/>
      <c r="AD75" s="18" t="str">
        <f>IF(T_MEASURES[[#This Row],[Culture and Sports]],"Yes","No")</f>
        <v>No</v>
      </c>
      <c r="AE75" s="18"/>
      <c r="AF75" s="18" t="str">
        <f>IF(T_MEASURES[[#This Row],[Tourism]],"Yes","No")</f>
        <v>No</v>
      </c>
      <c r="AG75" s="18"/>
      <c r="AH75" s="18" t="str">
        <f>IF(T_MEASURES[[#This Row],[Occupational risks]],"Yes","No")</f>
        <v>No</v>
      </c>
      <c r="AI75" s="18"/>
      <c r="AJ75" s="18" t="str">
        <f>IF(T_MEASURES[[#This Row],[Education]],"Yes","No")</f>
        <v>No</v>
      </c>
      <c r="AK75" s="18"/>
      <c r="AL75" s="18" t="str">
        <f>IF(T_MEASURES[[#This Row],[Social Services]],"Yes","No")</f>
        <v>No</v>
      </c>
      <c r="AM75" s="18"/>
      <c r="AN75" s="18" t="str">
        <f>IF(T_MEASURES[[#This Row],[Emergency Services and Police]],"Yes","No")</f>
        <v>No</v>
      </c>
      <c r="AO75" s="18"/>
      <c r="AP75" s="18" t="str">
        <f>IF(T_MEASURES[[#This Row],[Parks and gardens (Urban Green Infrastructure)]],"Yes","No")</f>
        <v>No</v>
      </c>
      <c r="AQ75" s="18"/>
      <c r="AR75" s="18" t="str">
        <f>IF(T_MEASURES[[#This Row],[Transport]],"Yes","No")</f>
        <v>No</v>
      </c>
      <c r="AS75" s="158"/>
      <c r="AT75" s="1" t="str">
        <f>IF(T_MEASURES[[#This Row],[Coordination]],"Yes","No")</f>
        <v>No</v>
      </c>
      <c r="AU75" s="2">
        <v>1</v>
      </c>
      <c r="AV75" s="1">
        <v>1</v>
      </c>
      <c r="AW75" s="1">
        <v>1</v>
      </c>
      <c r="AX75" s="1">
        <v>1</v>
      </c>
      <c r="AY75" s="3">
        <v>1</v>
      </c>
      <c r="AZ75" s="86">
        <f>SUMPRODUCT($AT$15:$AX$15,T_MEASURES[[#This Row],[&lt;5.000]:[&gt;100.000]])</f>
        <v>1</v>
      </c>
      <c r="BA75" s="1">
        <v>1</v>
      </c>
      <c r="BB75" s="1">
        <v>1</v>
      </c>
      <c r="BC75" s="1">
        <v>1</v>
      </c>
      <c r="BD75" s="1">
        <v>1</v>
      </c>
      <c r="BE75" s="1">
        <v>1</v>
      </c>
      <c r="BF75" s="1">
        <v>1</v>
      </c>
      <c r="BG75" s="1">
        <v>1</v>
      </c>
      <c r="BH75" s="86" cm="1">
        <f t="array" ref="BH75">SUMPRODUCT(--((T_MEASURES[[#This Row],[Health or social care centers]:[Schools / Educational centers]] + $AZ$15:$BF$15)&gt;0))</f>
        <v>7</v>
      </c>
      <c r="BI75" s="1">
        <v>3</v>
      </c>
      <c r="BJ75" s="1">
        <v>0</v>
      </c>
      <c r="BK75" s="1">
        <v>1</v>
      </c>
      <c r="BL75" s="1">
        <v>2</v>
      </c>
      <c r="BM75" s="1">
        <v>2</v>
      </c>
      <c r="BN75" s="1">
        <v>2</v>
      </c>
      <c r="BO75" s="1">
        <v>3</v>
      </c>
      <c r="BP75" s="1">
        <v>3</v>
      </c>
      <c r="BQ75" s="96" cm="1">
        <f t="array" ref="BQ75">T_MEASURES[[#This Row],[Apply size]]*(SUMPRODUCT(T_MEASURES[[#This Row],[C1_Urban Cooling]:[C8_Time]],TRANSPOSE('2.WEIGHTS'!$L$12:$L$19))+(ROW(C75)-ROW($C$18)+1)*0.0000000001)*100</f>
        <v>200.00000058000001</v>
      </c>
      <c r="BR75" s="21"/>
      <c r="BS75" s="38"/>
    </row>
    <row r="76" spans="1:71" ht="33.6" x14ac:dyDescent="0.3">
      <c r="A76" s="21"/>
      <c r="B76" s="38"/>
      <c r="C76" s="21"/>
      <c r="D76" s="86">
        <f>IF(T_MEASURES[[#This Row],[Weight Criterion]]&lt;=0,"",_xlfn.RANK.EQ(T_MEASURES[[#This Row],[Weight Criterion]],T_MEASURES[Weight Criterion]))</f>
        <v>37</v>
      </c>
      <c r="E76" s="152" t="s">
        <v>244</v>
      </c>
      <c r="F76" s="150" t="s">
        <v>431</v>
      </c>
      <c r="G76" s="150" t="s">
        <v>44</v>
      </c>
      <c r="H76" s="150" t="s">
        <v>245</v>
      </c>
      <c r="I76" s="150" t="s">
        <v>246</v>
      </c>
      <c r="J76" s="150"/>
      <c r="K76" s="18">
        <v>1</v>
      </c>
      <c r="L76" s="18"/>
      <c r="M76" s="18"/>
      <c r="N76" s="154" t="str">
        <f t="shared" si="2"/>
        <v>€</v>
      </c>
      <c r="O76" s="155"/>
      <c r="P76" s="155"/>
      <c r="Q76" s="19">
        <v>1</v>
      </c>
      <c r="R76" s="155">
        <v>1</v>
      </c>
      <c r="S76" s="72" t="str">
        <f>IF(T_MEASURES[[#This Row],[No risk (0)]]=1,"■","")</f>
        <v/>
      </c>
      <c r="T76" s="73" t="str">
        <f>IF(T_MEASURES[[#This Row],[Low risk (1)]]=1,"■","")</f>
        <v/>
      </c>
      <c r="U76" s="74" t="str">
        <f>IF(T_MEASURES[[#This Row],[Medium risk (2)]]=1,"■","")</f>
        <v>■</v>
      </c>
      <c r="V76" s="71" t="str">
        <f>IF(T_MEASURES[[#This Row],[High risk (3)]]=1,"■","")</f>
        <v>■</v>
      </c>
      <c r="W76" s="18" t="str">
        <f t="shared" si="1"/>
        <v>4. High (Red)</v>
      </c>
      <c r="X76" s="18">
        <f>COUNT(T_MEASURES[[#This Row],[Buildings and public facilities]:[Coordination]])</f>
        <v>1</v>
      </c>
      <c r="Y76" s="18"/>
      <c r="Z76" s="18" t="str">
        <f>IF(T_MEASURES[[#This Row],[Buildings and public facilities]]=1,"Yes","No")</f>
        <v>No</v>
      </c>
      <c r="AA76" s="18">
        <v>1</v>
      </c>
      <c r="AB76" s="18" t="str">
        <f>IF(T_MEASURES[[#This Row],[Urban planning]]=1,"Yes","No")</f>
        <v>Yes</v>
      </c>
      <c r="AC76" s="18"/>
      <c r="AD76" s="18" t="str">
        <f>IF(T_MEASURES[[#This Row],[Culture and Sports]],"Yes","No")</f>
        <v>No</v>
      </c>
      <c r="AE76" s="18"/>
      <c r="AF76" s="18" t="str">
        <f>IF(T_MEASURES[[#This Row],[Tourism]],"Yes","No")</f>
        <v>No</v>
      </c>
      <c r="AG76" s="18"/>
      <c r="AH76" s="18" t="str">
        <f>IF(T_MEASURES[[#This Row],[Occupational risks]],"Yes","No")</f>
        <v>No</v>
      </c>
      <c r="AI76" s="18"/>
      <c r="AJ76" s="18" t="str">
        <f>IF(T_MEASURES[[#This Row],[Education]],"Yes","No")</f>
        <v>No</v>
      </c>
      <c r="AK76" s="18"/>
      <c r="AL76" s="18" t="str">
        <f>IF(T_MEASURES[[#This Row],[Social Services]],"Yes","No")</f>
        <v>No</v>
      </c>
      <c r="AM76" s="18"/>
      <c r="AN76" s="18" t="str">
        <f>IF(T_MEASURES[[#This Row],[Emergency Services and Police]],"Yes","No")</f>
        <v>No</v>
      </c>
      <c r="AO76" s="18"/>
      <c r="AP76" s="18" t="str">
        <f>IF(T_MEASURES[[#This Row],[Parks and gardens (Urban Green Infrastructure)]],"Yes","No")</f>
        <v>No</v>
      </c>
      <c r="AQ76" s="18"/>
      <c r="AR76" s="18" t="str">
        <f>IF(T_MEASURES[[#This Row],[Transport]],"Yes","No")</f>
        <v>No</v>
      </c>
      <c r="AS76" s="158"/>
      <c r="AT76" s="1" t="str">
        <f>IF(T_MEASURES[[#This Row],[Coordination]],"Yes","No")</f>
        <v>No</v>
      </c>
      <c r="AU76" s="2">
        <v>1</v>
      </c>
      <c r="AV76" s="1">
        <v>1</v>
      </c>
      <c r="AW76" s="1">
        <v>1</v>
      </c>
      <c r="AX76" s="1">
        <v>1</v>
      </c>
      <c r="AY76" s="3">
        <v>1</v>
      </c>
      <c r="AZ76" s="86">
        <f>SUMPRODUCT($AT$15:$AX$15,T_MEASURES[[#This Row],[&lt;5.000]:[&gt;100.000]])</f>
        <v>1</v>
      </c>
      <c r="BA76" s="1">
        <v>1</v>
      </c>
      <c r="BB76" s="1">
        <v>1</v>
      </c>
      <c r="BC76" s="1">
        <v>1</v>
      </c>
      <c r="BD76" s="1">
        <v>1</v>
      </c>
      <c r="BE76" s="1">
        <v>1</v>
      </c>
      <c r="BF76" s="1">
        <v>1</v>
      </c>
      <c r="BG76" s="1">
        <v>1</v>
      </c>
      <c r="BH76" s="86" cm="1">
        <f t="array" ref="BH76">SUMPRODUCT(--((T_MEASURES[[#This Row],[Health or social care centers]:[Schools / Educational centers]] + $AZ$15:$BF$15)&gt;0))</f>
        <v>7</v>
      </c>
      <c r="BI76" s="88">
        <v>0</v>
      </c>
      <c r="BJ76" s="88">
        <v>0</v>
      </c>
      <c r="BK76" s="88">
        <v>3</v>
      </c>
      <c r="BL76" s="88">
        <v>2</v>
      </c>
      <c r="BM76" s="88">
        <v>3</v>
      </c>
      <c r="BN76" s="88">
        <v>2</v>
      </c>
      <c r="BO76" s="88">
        <v>3</v>
      </c>
      <c r="BP76" s="88">
        <v>3</v>
      </c>
      <c r="BQ76" s="96" cm="1">
        <f t="array" ref="BQ76">T_MEASURES[[#This Row],[Apply size]]*(SUMPRODUCT(T_MEASURES[[#This Row],[C1_Urban Cooling]:[C8_Time]],TRANSPOSE('2.WEIGHTS'!$L$12:$L$19))+(ROW(C76)-ROW($C$18)+1)*0.0000000001)*100</f>
        <v>200.00000059000001</v>
      </c>
      <c r="BR76" s="21"/>
      <c r="BS76" s="38"/>
    </row>
    <row r="77" spans="1:71" ht="33.6" x14ac:dyDescent="0.3">
      <c r="A77" s="21"/>
      <c r="B77" s="38"/>
      <c r="C77" s="21"/>
      <c r="D77" s="86">
        <f>IF(T_MEASURES[[#This Row],[Weight Criterion]]&lt;=0,"",_xlfn.RANK.EQ(T_MEASURES[[#This Row],[Weight Criterion]],T_MEASURES[Weight Criterion]))</f>
        <v>36</v>
      </c>
      <c r="E77" s="152" t="s">
        <v>247</v>
      </c>
      <c r="F77" s="150" t="s">
        <v>431</v>
      </c>
      <c r="G77" s="150" t="s">
        <v>44</v>
      </c>
      <c r="H77" s="150" t="s">
        <v>245</v>
      </c>
      <c r="I77" s="150" t="s">
        <v>248</v>
      </c>
      <c r="J77" s="150"/>
      <c r="K77" s="18">
        <v>1</v>
      </c>
      <c r="L77" s="18"/>
      <c r="M77" s="18"/>
      <c r="N77" s="154" t="str">
        <f t="shared" si="2"/>
        <v>€</v>
      </c>
      <c r="O77" s="155"/>
      <c r="P77" s="155">
        <v>1</v>
      </c>
      <c r="Q77" s="19">
        <v>1</v>
      </c>
      <c r="R77" s="155">
        <v>1</v>
      </c>
      <c r="S77" s="72" t="str">
        <f>IF(T_MEASURES[[#This Row],[No risk (0)]]=1,"■","")</f>
        <v/>
      </c>
      <c r="T77" s="73" t="str">
        <f>IF(T_MEASURES[[#This Row],[Low risk (1)]]=1,"■","")</f>
        <v>■</v>
      </c>
      <c r="U77" s="74" t="str">
        <f>IF(T_MEASURES[[#This Row],[Medium risk (2)]]=1,"■","")</f>
        <v>■</v>
      </c>
      <c r="V77" s="71" t="str">
        <f>IF(T_MEASURES[[#This Row],[High risk (3)]]=1,"■","")</f>
        <v>■</v>
      </c>
      <c r="W77" s="18" t="str">
        <f t="shared" si="1"/>
        <v>4. High (Red)</v>
      </c>
      <c r="X77" s="18">
        <f>COUNT(T_MEASURES[[#This Row],[Buildings and public facilities]:[Coordination]])</f>
        <v>1</v>
      </c>
      <c r="Y77" s="18"/>
      <c r="Z77" s="18" t="str">
        <f>IF(T_MEASURES[[#This Row],[Buildings and public facilities]]=1,"Yes","No")</f>
        <v>No</v>
      </c>
      <c r="AA77" s="18"/>
      <c r="AB77" s="18" t="str">
        <f>IF(T_MEASURES[[#This Row],[Urban planning]]=1,"Yes","No")</f>
        <v>No</v>
      </c>
      <c r="AC77" s="18"/>
      <c r="AD77" s="18" t="str">
        <f>IF(T_MEASURES[[#This Row],[Culture and Sports]],"Yes","No")</f>
        <v>No</v>
      </c>
      <c r="AE77" s="18"/>
      <c r="AF77" s="18" t="str">
        <f>IF(T_MEASURES[[#This Row],[Tourism]],"Yes","No")</f>
        <v>No</v>
      </c>
      <c r="AG77" s="18"/>
      <c r="AH77" s="18" t="str">
        <f>IF(T_MEASURES[[#This Row],[Occupational risks]],"Yes","No")</f>
        <v>No</v>
      </c>
      <c r="AI77" s="18"/>
      <c r="AJ77" s="18" t="str">
        <f>IF(T_MEASURES[[#This Row],[Education]],"Yes","No")</f>
        <v>No</v>
      </c>
      <c r="AK77" s="18">
        <v>1</v>
      </c>
      <c r="AL77" s="18" t="str">
        <f>IF(T_MEASURES[[#This Row],[Social Services]],"Yes","No")</f>
        <v>Yes</v>
      </c>
      <c r="AM77" s="18"/>
      <c r="AN77" s="18" t="str">
        <f>IF(T_MEASURES[[#This Row],[Emergency Services and Police]],"Yes","No")</f>
        <v>No</v>
      </c>
      <c r="AO77" s="18"/>
      <c r="AP77" s="18" t="str">
        <f>IF(T_MEASURES[[#This Row],[Parks and gardens (Urban Green Infrastructure)]],"Yes","No")</f>
        <v>No</v>
      </c>
      <c r="AQ77" s="18"/>
      <c r="AR77" s="18" t="str">
        <f>IF(T_MEASURES[[#This Row],[Transport]],"Yes","No")</f>
        <v>No</v>
      </c>
      <c r="AS77" s="158"/>
      <c r="AT77" s="1" t="str">
        <f>IF(T_MEASURES[[#This Row],[Coordination]],"Yes","No")</f>
        <v>No</v>
      </c>
      <c r="AU77" s="2">
        <v>1</v>
      </c>
      <c r="AV77" s="1">
        <v>1</v>
      </c>
      <c r="AW77" s="1">
        <v>1</v>
      </c>
      <c r="AX77" s="1">
        <v>1</v>
      </c>
      <c r="AY77" s="3">
        <v>1</v>
      </c>
      <c r="AZ77" s="86">
        <f>SUMPRODUCT($AT$15:$AX$15,T_MEASURES[[#This Row],[&lt;5.000]:[&gt;100.000]])</f>
        <v>1</v>
      </c>
      <c r="BA77" s="1"/>
      <c r="BB77" s="1">
        <v>1</v>
      </c>
      <c r="BC77" s="1">
        <v>1</v>
      </c>
      <c r="BD77" s="1">
        <v>1</v>
      </c>
      <c r="BE77" s="1">
        <v>1</v>
      </c>
      <c r="BF77" s="1">
        <v>1</v>
      </c>
      <c r="BG77" s="1">
        <v>1</v>
      </c>
      <c r="BH77" s="86" cm="1">
        <f t="array" ref="BH77">SUMPRODUCT(--((T_MEASURES[[#This Row],[Health or social care centers]:[Schools / Educational centers]] + $AZ$15:$BF$15)&gt;0))</f>
        <v>6</v>
      </c>
      <c r="BI77" s="1">
        <v>0</v>
      </c>
      <c r="BJ77" s="1">
        <v>0</v>
      </c>
      <c r="BK77" s="1">
        <v>3</v>
      </c>
      <c r="BL77" s="1">
        <v>2</v>
      </c>
      <c r="BM77" s="1">
        <v>3</v>
      </c>
      <c r="BN77" s="1">
        <v>2</v>
      </c>
      <c r="BO77" s="1">
        <v>3</v>
      </c>
      <c r="BP77" s="1">
        <v>3</v>
      </c>
      <c r="BQ77" s="96" cm="1">
        <f t="array" ref="BQ77">T_MEASURES[[#This Row],[Apply size]]*(SUMPRODUCT(T_MEASURES[[#This Row],[C1_Urban Cooling]:[C8_Time]],TRANSPOSE('2.WEIGHTS'!$L$12:$L$19))+(ROW(C77)-ROW($C$18)+1)*0.0000000001)*100</f>
        <v>200.00000059999999</v>
      </c>
      <c r="BR77" s="21"/>
      <c r="BS77" s="38"/>
    </row>
    <row r="78" spans="1:71" ht="33.6" x14ac:dyDescent="0.3">
      <c r="A78" s="21"/>
      <c r="B78" s="38"/>
      <c r="C78" s="21"/>
      <c r="D78" s="86">
        <f>IF(T_MEASURES[[#This Row],[Weight Criterion]]&lt;=0,"",_xlfn.RANK.EQ(T_MEASURES[[#This Row],[Weight Criterion]],T_MEASURES[Weight Criterion]))</f>
        <v>35</v>
      </c>
      <c r="E78" s="152" t="s">
        <v>249</v>
      </c>
      <c r="F78" s="150" t="s">
        <v>431</v>
      </c>
      <c r="G78" s="150" t="s">
        <v>41</v>
      </c>
      <c r="H78" s="150" t="s">
        <v>132</v>
      </c>
      <c r="I78" s="150" t="s">
        <v>250</v>
      </c>
      <c r="J78" s="150"/>
      <c r="K78" s="18">
        <v>1</v>
      </c>
      <c r="L78" s="18">
        <v>1</v>
      </c>
      <c r="M78" s="18"/>
      <c r="N78" s="154" t="str">
        <f t="shared" si="2"/>
        <v>€€</v>
      </c>
      <c r="O78" s="155"/>
      <c r="P78" s="155">
        <v>1</v>
      </c>
      <c r="Q78" s="19">
        <v>1</v>
      </c>
      <c r="R78" s="155">
        <v>1</v>
      </c>
      <c r="S78" s="72" t="str">
        <f>IF(T_MEASURES[[#This Row],[No risk (0)]]=1,"■","")</f>
        <v/>
      </c>
      <c r="T78" s="73" t="str">
        <f>IF(T_MEASURES[[#This Row],[Low risk (1)]]=1,"■","")</f>
        <v>■</v>
      </c>
      <c r="U78" s="74" t="str">
        <f>IF(T_MEASURES[[#This Row],[Medium risk (2)]]=1,"■","")</f>
        <v>■</v>
      </c>
      <c r="V78" s="71" t="str">
        <f>IF(T_MEASURES[[#This Row],[High risk (3)]]=1,"■","")</f>
        <v>■</v>
      </c>
      <c r="W78" s="18" t="str">
        <f t="shared" si="1"/>
        <v>4. High (Red)</v>
      </c>
      <c r="X78" s="18">
        <f>COUNT(T_MEASURES[[#This Row],[Buildings and public facilities]:[Coordination]])</f>
        <v>3</v>
      </c>
      <c r="Y78" s="18">
        <v>1</v>
      </c>
      <c r="Z78" s="18" t="str">
        <f>IF(T_MEASURES[[#This Row],[Buildings and public facilities]]=1,"Yes","No")</f>
        <v>Yes</v>
      </c>
      <c r="AA78" s="18"/>
      <c r="AB78" s="18" t="str">
        <f>IF(T_MEASURES[[#This Row],[Urban planning]]=1,"Yes","No")</f>
        <v>No</v>
      </c>
      <c r="AC78" s="18"/>
      <c r="AD78" s="18" t="str">
        <f>IF(T_MEASURES[[#This Row],[Culture and Sports]],"Yes","No")</f>
        <v>No</v>
      </c>
      <c r="AE78" s="18"/>
      <c r="AF78" s="18" t="str">
        <f>IF(T_MEASURES[[#This Row],[Tourism]],"Yes","No")</f>
        <v>No</v>
      </c>
      <c r="AG78" s="18"/>
      <c r="AH78" s="18" t="str">
        <f>IF(T_MEASURES[[#This Row],[Occupational risks]],"Yes","No")</f>
        <v>No</v>
      </c>
      <c r="AI78" s="18">
        <v>1</v>
      </c>
      <c r="AJ78" s="18" t="str">
        <f>IF(T_MEASURES[[#This Row],[Education]],"Yes","No")</f>
        <v>Yes</v>
      </c>
      <c r="AK78" s="18">
        <v>1</v>
      </c>
      <c r="AL78" s="18" t="str">
        <f>IF(T_MEASURES[[#This Row],[Social Services]],"Yes","No")</f>
        <v>Yes</v>
      </c>
      <c r="AM78" s="18"/>
      <c r="AN78" s="18" t="str">
        <f>IF(T_MEASURES[[#This Row],[Emergency Services and Police]],"Yes","No")</f>
        <v>No</v>
      </c>
      <c r="AO78" s="18"/>
      <c r="AP78" s="18" t="str">
        <f>IF(T_MEASURES[[#This Row],[Parks and gardens (Urban Green Infrastructure)]],"Yes","No")</f>
        <v>No</v>
      </c>
      <c r="AQ78" s="18"/>
      <c r="AR78" s="18" t="str">
        <f>IF(T_MEASURES[[#This Row],[Transport]],"Yes","No")</f>
        <v>No</v>
      </c>
      <c r="AS78" s="158"/>
      <c r="AT78" s="1" t="str">
        <f>IF(T_MEASURES[[#This Row],[Coordination]],"Yes","No")</f>
        <v>No</v>
      </c>
      <c r="AU78" s="2">
        <v>1</v>
      </c>
      <c r="AV78" s="1">
        <v>1</v>
      </c>
      <c r="AW78" s="1">
        <v>1</v>
      </c>
      <c r="AX78" s="1">
        <v>1</v>
      </c>
      <c r="AY78" s="3">
        <v>1</v>
      </c>
      <c r="AZ78" s="86">
        <f>SUMPRODUCT($AT$15:$AX$15,T_MEASURES[[#This Row],[&lt;5.000]:[&gt;100.000]])</f>
        <v>1</v>
      </c>
      <c r="BA78" s="1"/>
      <c r="BB78" s="1"/>
      <c r="BC78" s="1">
        <v>1</v>
      </c>
      <c r="BD78" s="1">
        <v>1</v>
      </c>
      <c r="BE78" s="1">
        <v>1</v>
      </c>
      <c r="BF78" s="1">
        <v>1</v>
      </c>
      <c r="BG78" s="1">
        <v>1</v>
      </c>
      <c r="BH78" s="86" cm="1">
        <f t="array" ref="BH78">SUMPRODUCT(--((T_MEASURES[[#This Row],[Health or social care centers]:[Schools / Educational centers]] + $AZ$15:$BF$15)&gt;0))</f>
        <v>5</v>
      </c>
      <c r="BI78" s="88">
        <v>2</v>
      </c>
      <c r="BJ78" s="88">
        <v>0</v>
      </c>
      <c r="BK78" s="88">
        <v>3</v>
      </c>
      <c r="BL78" s="88">
        <v>3</v>
      </c>
      <c r="BM78" s="88">
        <v>2</v>
      </c>
      <c r="BN78" s="88">
        <v>2</v>
      </c>
      <c r="BO78" s="88">
        <v>2</v>
      </c>
      <c r="BP78" s="88">
        <v>2</v>
      </c>
      <c r="BQ78" s="96" cm="1">
        <f t="array" ref="BQ78">T_MEASURES[[#This Row],[Apply size]]*(SUMPRODUCT(T_MEASURES[[#This Row],[C1_Urban Cooling]:[C8_Time]],TRANSPOSE('2.WEIGHTS'!$L$12:$L$19))+(ROW(C78)-ROW($C$18)+1)*0.0000000001)*100</f>
        <v>200.00000061</v>
      </c>
      <c r="BR78" s="21"/>
      <c r="BS78" s="38"/>
    </row>
    <row r="79" spans="1:71" ht="33.6" x14ac:dyDescent="0.3">
      <c r="A79" s="21"/>
      <c r="B79" s="38"/>
      <c r="C79" s="21"/>
      <c r="D79" s="86">
        <f>IF(T_MEASURES[[#This Row],[Weight Criterion]]&lt;=0,"",_xlfn.RANK.EQ(T_MEASURES[[#This Row],[Weight Criterion]],T_MEASURES[Weight Criterion]))</f>
        <v>75</v>
      </c>
      <c r="E79" s="152" t="s">
        <v>251</v>
      </c>
      <c r="F79" s="150" t="s">
        <v>431</v>
      </c>
      <c r="G79" s="150" t="s">
        <v>41</v>
      </c>
      <c r="H79" s="150" t="s">
        <v>132</v>
      </c>
      <c r="I79" s="150" t="s">
        <v>252</v>
      </c>
      <c r="J79" s="150"/>
      <c r="K79" s="18">
        <v>1</v>
      </c>
      <c r="L79" s="18">
        <v>1</v>
      </c>
      <c r="M79" s="18"/>
      <c r="N79" s="154" t="str">
        <f t="shared" si="2"/>
        <v>€€</v>
      </c>
      <c r="O79" s="155"/>
      <c r="P79" s="155"/>
      <c r="Q79" s="19">
        <v>1</v>
      </c>
      <c r="R79" s="155">
        <v>1</v>
      </c>
      <c r="S79" s="72" t="str">
        <f>IF(T_MEASURES[[#This Row],[No risk (0)]]=1,"■","")</f>
        <v/>
      </c>
      <c r="T79" s="73" t="str">
        <f>IF(T_MEASURES[[#This Row],[Low risk (1)]]=1,"■","")</f>
        <v/>
      </c>
      <c r="U79" s="74" t="str">
        <f>IF(T_MEASURES[[#This Row],[Medium risk (2)]]=1,"■","")</f>
        <v>■</v>
      </c>
      <c r="V79" s="71" t="str">
        <f>IF(T_MEASURES[[#This Row],[High risk (3)]]=1,"■","")</f>
        <v>■</v>
      </c>
      <c r="W79" s="18" t="str">
        <f t="shared" si="1"/>
        <v>4. High (Red)</v>
      </c>
      <c r="X79" s="18">
        <f>COUNT(T_MEASURES[[#This Row],[Buildings and public facilities]:[Coordination]])</f>
        <v>2</v>
      </c>
      <c r="Y79" s="18">
        <v>1</v>
      </c>
      <c r="Z79" s="18" t="str">
        <f>IF(T_MEASURES[[#This Row],[Buildings and public facilities]]=1,"Yes","No")</f>
        <v>Yes</v>
      </c>
      <c r="AA79" s="18"/>
      <c r="AB79" s="18" t="str">
        <f>IF(T_MEASURES[[#This Row],[Urban planning]]=1,"Yes","No")</f>
        <v>No</v>
      </c>
      <c r="AC79" s="18"/>
      <c r="AD79" s="18" t="str">
        <f>IF(T_MEASURES[[#This Row],[Culture and Sports]],"Yes","No")</f>
        <v>No</v>
      </c>
      <c r="AE79" s="18"/>
      <c r="AF79" s="18" t="str">
        <f>IF(T_MEASURES[[#This Row],[Tourism]],"Yes","No")</f>
        <v>No</v>
      </c>
      <c r="AG79" s="18"/>
      <c r="AH79" s="18" t="str">
        <f>IF(T_MEASURES[[#This Row],[Occupational risks]],"Yes","No")</f>
        <v>No</v>
      </c>
      <c r="AI79" s="18">
        <v>1</v>
      </c>
      <c r="AJ79" s="18" t="str">
        <f>IF(T_MEASURES[[#This Row],[Education]],"Yes","No")</f>
        <v>Yes</v>
      </c>
      <c r="AK79" s="18"/>
      <c r="AL79" s="18" t="str">
        <f>IF(T_MEASURES[[#This Row],[Social Services]],"Yes","No")</f>
        <v>No</v>
      </c>
      <c r="AM79" s="18"/>
      <c r="AN79" s="18" t="str">
        <f>IF(T_MEASURES[[#This Row],[Emergency Services and Police]],"Yes","No")</f>
        <v>No</v>
      </c>
      <c r="AO79" s="18"/>
      <c r="AP79" s="18" t="str">
        <f>IF(T_MEASURES[[#This Row],[Parks and gardens (Urban Green Infrastructure)]],"Yes","No")</f>
        <v>No</v>
      </c>
      <c r="AQ79" s="18"/>
      <c r="AR79" s="18" t="str">
        <f>IF(T_MEASURES[[#This Row],[Transport]],"Yes","No")</f>
        <v>No</v>
      </c>
      <c r="AS79" s="158"/>
      <c r="AT79" s="1" t="str">
        <f>IF(T_MEASURES[[#This Row],[Coordination]],"Yes","No")</f>
        <v>No</v>
      </c>
      <c r="AU79" s="2">
        <v>1</v>
      </c>
      <c r="AV79" s="1">
        <v>1</v>
      </c>
      <c r="AW79" s="1">
        <v>1</v>
      </c>
      <c r="AX79" s="1">
        <v>1</v>
      </c>
      <c r="AY79" s="3">
        <v>1</v>
      </c>
      <c r="AZ79" s="86">
        <f>SUMPRODUCT($AT$15:$AX$15,T_MEASURES[[#This Row],[&lt;5.000]:[&gt;100.000]])</f>
        <v>1</v>
      </c>
      <c r="BA79" s="1">
        <v>1</v>
      </c>
      <c r="BB79" s="1">
        <v>1</v>
      </c>
      <c r="BC79" s="1">
        <v>1</v>
      </c>
      <c r="BD79" s="1">
        <v>1</v>
      </c>
      <c r="BE79" s="1">
        <v>1</v>
      </c>
      <c r="BF79" s="1">
        <v>1</v>
      </c>
      <c r="BG79" s="1">
        <v>1</v>
      </c>
      <c r="BH79" s="86" cm="1">
        <f t="array" ref="BH79">SUMPRODUCT(--((T_MEASURES[[#This Row],[Health or social care centers]:[Schools / Educational centers]] + $AZ$15:$BF$15)&gt;0))</f>
        <v>7</v>
      </c>
      <c r="BI79" s="1">
        <v>2</v>
      </c>
      <c r="BJ79" s="1">
        <v>0</v>
      </c>
      <c r="BK79" s="1">
        <v>1</v>
      </c>
      <c r="BL79" s="1">
        <v>3</v>
      </c>
      <c r="BM79" s="1">
        <v>2</v>
      </c>
      <c r="BN79" s="1">
        <v>1</v>
      </c>
      <c r="BO79" s="1">
        <v>3</v>
      </c>
      <c r="BP79" s="1">
        <v>3</v>
      </c>
      <c r="BQ79" s="96" cm="1">
        <f t="array" ref="BQ79">T_MEASURES[[#This Row],[Apply size]]*(SUMPRODUCT(T_MEASURES[[#This Row],[C1_Urban Cooling]:[C8_Time]],TRANSPOSE('2.WEIGHTS'!$L$12:$L$19))+(ROW(C79)-ROW($C$18)+1)*0.0000000001)*100</f>
        <v>187.50000062000001</v>
      </c>
      <c r="BR79" s="21"/>
      <c r="BS79" s="38"/>
    </row>
    <row r="80" spans="1:71" ht="33.6" x14ac:dyDescent="0.3">
      <c r="A80" s="21"/>
      <c r="B80" s="38"/>
      <c r="C80" s="21"/>
      <c r="D80" s="86">
        <f>IF(T_MEASURES[[#This Row],[Weight Criterion]]&lt;=0,"",_xlfn.RANK.EQ(T_MEASURES[[#This Row],[Weight Criterion]],T_MEASURES[Weight Criterion]))</f>
        <v>111</v>
      </c>
      <c r="E80" s="152" t="s">
        <v>253</v>
      </c>
      <c r="F80" s="150" t="s">
        <v>431</v>
      </c>
      <c r="G80" s="150" t="s">
        <v>42</v>
      </c>
      <c r="H80" s="150" t="s">
        <v>126</v>
      </c>
      <c r="I80" s="150" t="s">
        <v>254</v>
      </c>
      <c r="J80" s="150"/>
      <c r="K80" s="18">
        <v>1</v>
      </c>
      <c r="L80" s="18"/>
      <c r="M80" s="18"/>
      <c r="N80" s="154" t="str">
        <f t="shared" si="2"/>
        <v>€</v>
      </c>
      <c r="O80" s="155"/>
      <c r="P80" s="155"/>
      <c r="Q80" s="19">
        <v>1</v>
      </c>
      <c r="R80" s="155">
        <v>1</v>
      </c>
      <c r="S80" s="72" t="str">
        <f>IF(T_MEASURES[[#This Row],[No risk (0)]]=1,"■","")</f>
        <v/>
      </c>
      <c r="T80" s="73" t="str">
        <f>IF(T_MEASURES[[#This Row],[Low risk (1)]]=1,"■","")</f>
        <v/>
      </c>
      <c r="U80" s="74" t="str">
        <f>IF(T_MEASURES[[#This Row],[Medium risk (2)]]=1,"■","")</f>
        <v>■</v>
      </c>
      <c r="V80" s="71" t="str">
        <f>IF(T_MEASURES[[#This Row],[High risk (3)]]=1,"■","")</f>
        <v>■</v>
      </c>
      <c r="W80" s="18" t="str">
        <f t="shared" si="1"/>
        <v>4. High (Red)</v>
      </c>
      <c r="X80" s="18">
        <f>COUNT(T_MEASURES[[#This Row],[Buildings and public facilities]:[Coordination]])</f>
        <v>1</v>
      </c>
      <c r="Y80" s="18"/>
      <c r="Z80" s="18" t="str">
        <f>IF(T_MEASURES[[#This Row],[Buildings and public facilities]]=1,"Yes","No")</f>
        <v>No</v>
      </c>
      <c r="AA80" s="18"/>
      <c r="AB80" s="18" t="str">
        <f>IF(T_MEASURES[[#This Row],[Urban planning]]=1,"Yes","No")</f>
        <v>No</v>
      </c>
      <c r="AC80" s="18"/>
      <c r="AD80" s="18" t="str">
        <f>IF(T_MEASURES[[#This Row],[Culture and Sports]],"Yes","No")</f>
        <v>No</v>
      </c>
      <c r="AE80" s="18"/>
      <c r="AF80" s="18" t="str">
        <f>IF(T_MEASURES[[#This Row],[Tourism]],"Yes","No")</f>
        <v>No</v>
      </c>
      <c r="AG80" s="18"/>
      <c r="AH80" s="18" t="str">
        <f>IF(T_MEASURES[[#This Row],[Occupational risks]],"Yes","No")</f>
        <v>No</v>
      </c>
      <c r="AI80" s="18"/>
      <c r="AJ80" s="18" t="str">
        <f>IF(T_MEASURES[[#This Row],[Education]],"Yes","No")</f>
        <v>No</v>
      </c>
      <c r="AK80" s="18"/>
      <c r="AL80" s="18" t="str">
        <f>IF(T_MEASURES[[#This Row],[Social Services]],"Yes","No")</f>
        <v>No</v>
      </c>
      <c r="AM80" s="18"/>
      <c r="AN80" s="18" t="str">
        <f>IF(T_MEASURES[[#This Row],[Emergency Services and Police]],"Yes","No")</f>
        <v>No</v>
      </c>
      <c r="AO80" s="18"/>
      <c r="AP80" s="18" t="str">
        <f>IF(T_MEASURES[[#This Row],[Parks and gardens (Urban Green Infrastructure)]],"Yes","No")</f>
        <v>No</v>
      </c>
      <c r="AQ80" s="18">
        <v>1</v>
      </c>
      <c r="AR80" s="18" t="str">
        <f>IF(T_MEASURES[[#This Row],[Transport]],"Yes","No")</f>
        <v>Yes</v>
      </c>
      <c r="AS80" s="158"/>
      <c r="AT80" s="1" t="str">
        <f>IF(T_MEASURES[[#This Row],[Coordination]],"Yes","No")</f>
        <v>No</v>
      </c>
      <c r="AU80" s="2"/>
      <c r="AV80" s="1"/>
      <c r="AW80" s="1"/>
      <c r="AX80" s="1">
        <v>1</v>
      </c>
      <c r="AY80" s="3">
        <v>1</v>
      </c>
      <c r="AZ80" s="86">
        <f>SUMPRODUCT($AT$15:$AX$15,T_MEASURES[[#This Row],[&lt;5.000]:[&gt;100.000]])</f>
        <v>1</v>
      </c>
      <c r="BA80" s="1">
        <v>1</v>
      </c>
      <c r="BB80" s="1">
        <v>1</v>
      </c>
      <c r="BC80" s="1">
        <v>1</v>
      </c>
      <c r="BD80" s="1">
        <v>1</v>
      </c>
      <c r="BE80" s="1">
        <v>1</v>
      </c>
      <c r="BF80" s="1"/>
      <c r="BG80" s="1">
        <v>1</v>
      </c>
      <c r="BH80" s="86" cm="1">
        <f t="array" ref="BH80">SUMPRODUCT(--((T_MEASURES[[#This Row],[Health or social care centers]:[Schools / Educational centers]] + $AZ$15:$BF$15)&gt;0))</f>
        <v>6</v>
      </c>
      <c r="BI80" s="88">
        <v>0</v>
      </c>
      <c r="BJ80" s="88">
        <v>0</v>
      </c>
      <c r="BK80" s="88">
        <v>2</v>
      </c>
      <c r="BL80" s="88">
        <v>2</v>
      </c>
      <c r="BM80" s="88">
        <v>3</v>
      </c>
      <c r="BN80" s="88">
        <v>2</v>
      </c>
      <c r="BO80" s="88">
        <v>1</v>
      </c>
      <c r="BP80" s="88">
        <v>3</v>
      </c>
      <c r="BQ80" s="96" cm="1">
        <f t="array" ref="BQ80">T_MEASURES[[#This Row],[Apply size]]*(SUMPRODUCT(T_MEASURES[[#This Row],[C1_Urban Cooling]:[C8_Time]],TRANSPOSE('2.WEIGHTS'!$L$12:$L$19))+(ROW(C80)-ROW($C$18)+1)*0.0000000001)*100</f>
        <v>162.50000063000002</v>
      </c>
      <c r="BR80" s="21"/>
      <c r="BS80" s="38"/>
    </row>
    <row r="81" spans="1:71" ht="33.6" x14ac:dyDescent="0.3">
      <c r="A81" s="21"/>
      <c r="B81" s="38"/>
      <c r="C81" s="21"/>
      <c r="D81" s="86">
        <f>IF(T_MEASURES[[#This Row],[Weight Criterion]]&lt;=0,"",_xlfn.RANK.EQ(T_MEASURES[[#This Row],[Weight Criterion]],T_MEASURES[Weight Criterion]))</f>
        <v>121</v>
      </c>
      <c r="E81" s="152" t="s">
        <v>255</v>
      </c>
      <c r="F81" s="150" t="s">
        <v>431</v>
      </c>
      <c r="G81" s="150" t="s">
        <v>44</v>
      </c>
      <c r="H81" s="150" t="s">
        <v>245</v>
      </c>
      <c r="I81" s="150" t="s">
        <v>256</v>
      </c>
      <c r="J81" s="150"/>
      <c r="K81" s="18">
        <v>1</v>
      </c>
      <c r="L81" s="18"/>
      <c r="M81" s="18"/>
      <c r="N81" s="154" t="str">
        <f t="shared" si="2"/>
        <v>€</v>
      </c>
      <c r="O81" s="155"/>
      <c r="P81" s="155"/>
      <c r="Q81" s="19">
        <v>1</v>
      </c>
      <c r="R81" s="155">
        <v>1</v>
      </c>
      <c r="S81" s="72" t="str">
        <f>IF(T_MEASURES[[#This Row],[No risk (0)]]=1,"■","")</f>
        <v/>
      </c>
      <c r="T81" s="73" t="str">
        <f>IF(T_MEASURES[[#This Row],[Low risk (1)]]=1,"■","")</f>
        <v/>
      </c>
      <c r="U81" s="74" t="str">
        <f>IF(T_MEASURES[[#This Row],[Medium risk (2)]]=1,"■","")</f>
        <v>■</v>
      </c>
      <c r="V81" s="71" t="str">
        <f>IF(T_MEASURES[[#This Row],[High risk (3)]]=1,"■","")</f>
        <v>■</v>
      </c>
      <c r="W81" s="18" t="str">
        <f t="shared" si="1"/>
        <v>4. High (Red)</v>
      </c>
      <c r="X81" s="18">
        <f>COUNT(T_MEASURES[[#This Row],[Buildings and public facilities]:[Coordination]])</f>
        <v>1</v>
      </c>
      <c r="Y81" s="18"/>
      <c r="Z81" s="18" t="str">
        <f>IF(T_MEASURES[[#This Row],[Buildings and public facilities]]=1,"Yes","No")</f>
        <v>No</v>
      </c>
      <c r="AA81" s="18"/>
      <c r="AB81" s="18" t="str">
        <f>IF(T_MEASURES[[#This Row],[Urban planning]]=1,"Yes","No")</f>
        <v>No</v>
      </c>
      <c r="AC81" s="18"/>
      <c r="AD81" s="18" t="str">
        <f>IF(T_MEASURES[[#This Row],[Culture and Sports]],"Yes","No")</f>
        <v>No</v>
      </c>
      <c r="AE81" s="18"/>
      <c r="AF81" s="18" t="str">
        <f>IF(T_MEASURES[[#This Row],[Tourism]],"Yes","No")</f>
        <v>No</v>
      </c>
      <c r="AG81" s="18">
        <v>1</v>
      </c>
      <c r="AH81" s="18" t="str">
        <f>IF(T_MEASURES[[#This Row],[Occupational risks]],"Yes","No")</f>
        <v>Yes</v>
      </c>
      <c r="AI81" s="18"/>
      <c r="AJ81" s="18" t="str">
        <f>IF(T_MEASURES[[#This Row],[Education]],"Yes","No")</f>
        <v>No</v>
      </c>
      <c r="AK81" s="18"/>
      <c r="AL81" s="18" t="str">
        <f>IF(T_MEASURES[[#This Row],[Social Services]],"Yes","No")</f>
        <v>No</v>
      </c>
      <c r="AM81" s="18"/>
      <c r="AN81" s="18" t="str">
        <f>IF(T_MEASURES[[#This Row],[Emergency Services and Police]],"Yes","No")</f>
        <v>No</v>
      </c>
      <c r="AO81" s="18"/>
      <c r="AP81" s="18" t="str">
        <f>IF(T_MEASURES[[#This Row],[Parks and gardens (Urban Green Infrastructure)]],"Yes","No")</f>
        <v>No</v>
      </c>
      <c r="AQ81" s="18"/>
      <c r="AR81" s="18" t="str">
        <f>IF(T_MEASURES[[#This Row],[Transport]],"Yes","No")</f>
        <v>No</v>
      </c>
      <c r="AS81" s="158"/>
      <c r="AT81" s="1" t="str">
        <f>IF(T_MEASURES[[#This Row],[Coordination]],"Yes","No")</f>
        <v>No</v>
      </c>
      <c r="AU81" s="2">
        <v>1</v>
      </c>
      <c r="AV81" s="1">
        <v>1</v>
      </c>
      <c r="AW81" s="1">
        <v>1</v>
      </c>
      <c r="AX81" s="1">
        <v>1</v>
      </c>
      <c r="AY81" s="3">
        <v>1</v>
      </c>
      <c r="AZ81" s="86">
        <f>SUMPRODUCT($AT$15:$AX$15,T_MEASURES[[#This Row],[&lt;5.000]:[&gt;100.000]])</f>
        <v>1</v>
      </c>
      <c r="BA81" s="1">
        <v>1</v>
      </c>
      <c r="BB81" s="1">
        <v>1</v>
      </c>
      <c r="BC81" s="1">
        <v>1</v>
      </c>
      <c r="BD81" s="1">
        <v>1</v>
      </c>
      <c r="BE81" s="1">
        <v>1</v>
      </c>
      <c r="BF81" s="1">
        <v>1</v>
      </c>
      <c r="BG81" s="1">
        <v>1</v>
      </c>
      <c r="BH81" s="86" cm="1">
        <f t="array" ref="BH81">SUMPRODUCT(--((T_MEASURES[[#This Row],[Health or social care centers]:[Schools / Educational centers]] + $AZ$15:$BF$15)&gt;0))</f>
        <v>7</v>
      </c>
      <c r="BI81" s="1">
        <v>0</v>
      </c>
      <c r="BJ81" s="1">
        <v>0</v>
      </c>
      <c r="BK81" s="1">
        <v>2</v>
      </c>
      <c r="BL81" s="1">
        <v>1</v>
      </c>
      <c r="BM81" s="1">
        <v>3</v>
      </c>
      <c r="BN81" s="1">
        <v>1</v>
      </c>
      <c r="BO81" s="1">
        <v>2</v>
      </c>
      <c r="BP81" s="1">
        <v>3</v>
      </c>
      <c r="BQ81" s="96" cm="1">
        <f t="array" ref="BQ81">T_MEASURES[[#This Row],[Apply size]]*(SUMPRODUCT(T_MEASURES[[#This Row],[C1_Urban Cooling]:[C8_Time]],TRANSPOSE('2.WEIGHTS'!$L$12:$L$19))+(ROW(C81)-ROW($C$18)+1)*0.0000000001)*100</f>
        <v>150.00000064</v>
      </c>
      <c r="BR81" s="21"/>
      <c r="BS81" s="38"/>
    </row>
    <row r="82" spans="1:71" ht="33.6" x14ac:dyDescent="0.3">
      <c r="A82" s="21"/>
      <c r="B82" s="38"/>
      <c r="C82" s="21"/>
      <c r="D82" s="86">
        <f>IF(T_MEASURES[[#This Row],[Weight Criterion]]&lt;=0,"",_xlfn.RANK.EQ(T_MEASURES[[#This Row],[Weight Criterion]],T_MEASURES[Weight Criterion]))</f>
        <v>74</v>
      </c>
      <c r="E82" s="152" t="s">
        <v>257</v>
      </c>
      <c r="F82" s="150" t="s">
        <v>431</v>
      </c>
      <c r="G82" s="150" t="s">
        <v>42</v>
      </c>
      <c r="H82" s="150" t="s">
        <v>135</v>
      </c>
      <c r="I82" s="150" t="s">
        <v>258</v>
      </c>
      <c r="J82" s="150"/>
      <c r="K82" s="153">
        <v>1</v>
      </c>
      <c r="L82" s="18"/>
      <c r="M82" s="18"/>
      <c r="N82" s="154" t="str">
        <f t="shared" ref="N82:N113" si="3">IF(M82&lt;&gt;"","€€€", IF(L82&lt;&gt;"","€€", IF(K82&lt;&gt;"","€","-")))</f>
        <v>€</v>
      </c>
      <c r="O82" s="155"/>
      <c r="P82" s="155">
        <v>1</v>
      </c>
      <c r="Q82" s="19">
        <v>1</v>
      </c>
      <c r="R82" s="155">
        <v>1</v>
      </c>
      <c r="S82" s="72" t="str">
        <f>IF(T_MEASURES[[#This Row],[No risk (0)]]=1,"■","")</f>
        <v/>
      </c>
      <c r="T82" s="73" t="str">
        <f>IF(T_MEASURES[[#This Row],[Low risk (1)]]=1,"■","")</f>
        <v>■</v>
      </c>
      <c r="U82" s="74" t="str">
        <f>IF(T_MEASURES[[#This Row],[Medium risk (2)]]=1,"■","")</f>
        <v>■</v>
      </c>
      <c r="V82" s="71" t="str">
        <f>IF(T_MEASURES[[#This Row],[High risk (3)]]=1,"■","")</f>
        <v>■</v>
      </c>
      <c r="W82" s="18" t="str">
        <f t="shared" si="1"/>
        <v>4. High (Red)</v>
      </c>
      <c r="X82" s="18">
        <f>COUNT(T_MEASURES[[#This Row],[Buildings and public facilities]:[Coordination]])</f>
        <v>2</v>
      </c>
      <c r="Y82" s="18"/>
      <c r="Z82" s="18" t="str">
        <f>IF(T_MEASURES[[#This Row],[Buildings and public facilities]]=1,"Yes","No")</f>
        <v>No</v>
      </c>
      <c r="AA82" s="18"/>
      <c r="AB82" s="18" t="str">
        <f>IF(T_MEASURES[[#This Row],[Urban planning]]=1,"Yes","No")</f>
        <v>No</v>
      </c>
      <c r="AC82" s="18"/>
      <c r="AD82" s="18" t="str">
        <f>IF(T_MEASURES[[#This Row],[Culture and Sports]],"Yes","No")</f>
        <v>No</v>
      </c>
      <c r="AE82" s="18"/>
      <c r="AF82" s="18" t="str">
        <f>IF(T_MEASURES[[#This Row],[Tourism]],"Yes","No")</f>
        <v>No</v>
      </c>
      <c r="AG82" s="18"/>
      <c r="AH82" s="18" t="str">
        <f>IF(T_MEASURES[[#This Row],[Occupational risks]],"Yes","No")</f>
        <v>No</v>
      </c>
      <c r="AI82" s="18"/>
      <c r="AJ82" s="18" t="str">
        <f>IF(T_MEASURES[[#This Row],[Education]],"Yes","No")</f>
        <v>No</v>
      </c>
      <c r="AK82" s="18">
        <v>1</v>
      </c>
      <c r="AL82" s="18" t="str">
        <f>IF(T_MEASURES[[#This Row],[Social Services]],"Yes","No")</f>
        <v>Yes</v>
      </c>
      <c r="AM82" s="18"/>
      <c r="AN82" s="18" t="str">
        <f>IF(T_MEASURES[[#This Row],[Emergency Services and Police]],"Yes","No")</f>
        <v>No</v>
      </c>
      <c r="AO82" s="18"/>
      <c r="AP82" s="18" t="str">
        <f>IF(T_MEASURES[[#This Row],[Parks and gardens (Urban Green Infrastructure)]],"Yes","No")</f>
        <v>No</v>
      </c>
      <c r="AQ82" s="18"/>
      <c r="AR82" s="18" t="str">
        <f>IF(T_MEASURES[[#This Row],[Transport]],"Yes","No")</f>
        <v>No</v>
      </c>
      <c r="AS82" s="158">
        <v>1</v>
      </c>
      <c r="AT82" s="1" t="str">
        <f>IF(T_MEASURES[[#This Row],[Coordination]],"Yes","No")</f>
        <v>Yes</v>
      </c>
      <c r="AU82" s="2">
        <v>1</v>
      </c>
      <c r="AV82" s="1">
        <v>1</v>
      </c>
      <c r="AW82" s="1">
        <v>1</v>
      </c>
      <c r="AX82" s="1">
        <v>1</v>
      </c>
      <c r="AY82" s="3">
        <v>1</v>
      </c>
      <c r="AZ82" s="86">
        <f>SUMPRODUCT($AT$15:$AX$15,T_MEASURES[[#This Row],[&lt;5.000]:[&gt;100.000]])</f>
        <v>1</v>
      </c>
      <c r="BA82" s="1">
        <v>1</v>
      </c>
      <c r="BB82" s="1">
        <v>1</v>
      </c>
      <c r="BC82" s="1">
        <v>1</v>
      </c>
      <c r="BD82" s="1">
        <v>1</v>
      </c>
      <c r="BE82" s="1">
        <v>1</v>
      </c>
      <c r="BF82" s="1">
        <v>1</v>
      </c>
      <c r="BG82" s="1">
        <v>1</v>
      </c>
      <c r="BH82" s="86" cm="1">
        <f t="array" ref="BH82">SUMPRODUCT(--((T_MEASURES[[#This Row],[Health or social care centers]:[Schools / Educational centers]] + $AZ$15:$BF$15)&gt;0))</f>
        <v>7</v>
      </c>
      <c r="BI82" s="88">
        <v>0</v>
      </c>
      <c r="BJ82" s="88">
        <v>0</v>
      </c>
      <c r="BK82" s="88">
        <v>3</v>
      </c>
      <c r="BL82" s="88">
        <v>2</v>
      </c>
      <c r="BM82" s="88">
        <v>3</v>
      </c>
      <c r="BN82" s="88">
        <v>2</v>
      </c>
      <c r="BO82" s="88">
        <v>2</v>
      </c>
      <c r="BP82" s="88">
        <v>3</v>
      </c>
      <c r="BQ82" s="96" cm="1">
        <f t="array" ref="BQ82">T_MEASURES[[#This Row],[Apply size]]*(SUMPRODUCT(T_MEASURES[[#This Row],[C1_Urban Cooling]:[C8_Time]],TRANSPOSE('2.WEIGHTS'!$L$12:$L$19))+(ROW(C82)-ROW($C$18)+1)*0.0000000001)*100</f>
        <v>187.50000065</v>
      </c>
      <c r="BR82" s="21"/>
      <c r="BS82" s="38"/>
    </row>
    <row r="83" spans="1:71" ht="33.6" x14ac:dyDescent="0.3">
      <c r="A83" s="21"/>
      <c r="B83" s="38"/>
      <c r="C83" s="21"/>
      <c r="D83" s="86">
        <f>IF(T_MEASURES[[#This Row],[Weight Criterion]]&lt;=0,"",_xlfn.RANK.EQ(T_MEASURES[[#This Row],[Weight Criterion]],T_MEASURES[Weight Criterion]))</f>
        <v>89</v>
      </c>
      <c r="E83" s="152" t="s">
        <v>259</v>
      </c>
      <c r="F83" s="150" t="s">
        <v>431</v>
      </c>
      <c r="G83" s="150" t="s">
        <v>42</v>
      </c>
      <c r="H83" s="150" t="s">
        <v>135</v>
      </c>
      <c r="I83" s="150" t="s">
        <v>260</v>
      </c>
      <c r="J83" s="150"/>
      <c r="K83" s="153">
        <v>1</v>
      </c>
      <c r="L83" s="18"/>
      <c r="M83" s="18"/>
      <c r="N83" s="154" t="str">
        <f t="shared" si="3"/>
        <v>€</v>
      </c>
      <c r="O83" s="155"/>
      <c r="P83" s="155">
        <v>1</v>
      </c>
      <c r="Q83" s="19">
        <v>1</v>
      </c>
      <c r="R83" s="155">
        <v>1</v>
      </c>
      <c r="S83" s="72" t="str">
        <f>IF(T_MEASURES[[#This Row],[No risk (0)]]=1,"■","")</f>
        <v/>
      </c>
      <c r="T83" s="73" t="str">
        <f>IF(T_MEASURES[[#This Row],[Low risk (1)]]=1,"■","")</f>
        <v>■</v>
      </c>
      <c r="U83" s="74" t="str">
        <f>IF(T_MEASURES[[#This Row],[Medium risk (2)]]=1,"■","")</f>
        <v>■</v>
      </c>
      <c r="V83" s="71" t="str">
        <f>IF(T_MEASURES[[#This Row],[High risk (3)]]=1,"■","")</f>
        <v>■</v>
      </c>
      <c r="W83" s="18" t="str">
        <f t="shared" ref="W83:W146" si="4">IF(R83&lt;&gt;"","4. High (Red)", IF(Q83&lt;&gt;"","3. Medium (Orange)", IF(P83&lt;&gt;"","2. Low (Yellow)","1. No Risk (Green)")))</f>
        <v>4. High (Red)</v>
      </c>
      <c r="X83" s="18">
        <f>COUNT(T_MEASURES[[#This Row],[Buildings and public facilities]:[Coordination]])</f>
        <v>2</v>
      </c>
      <c r="Y83" s="18"/>
      <c r="Z83" s="18" t="str">
        <f>IF(T_MEASURES[[#This Row],[Buildings and public facilities]]=1,"Yes","No")</f>
        <v>No</v>
      </c>
      <c r="AA83" s="18"/>
      <c r="AB83" s="18" t="str">
        <f>IF(T_MEASURES[[#This Row],[Urban planning]]=1,"Yes","No")</f>
        <v>No</v>
      </c>
      <c r="AC83" s="18"/>
      <c r="AD83" s="18" t="str">
        <f>IF(T_MEASURES[[#This Row],[Culture and Sports]],"Yes","No")</f>
        <v>No</v>
      </c>
      <c r="AE83" s="18"/>
      <c r="AF83" s="18" t="str">
        <f>IF(T_MEASURES[[#This Row],[Tourism]],"Yes","No")</f>
        <v>No</v>
      </c>
      <c r="AG83" s="18"/>
      <c r="AH83" s="18" t="str">
        <f>IF(T_MEASURES[[#This Row],[Occupational risks]],"Yes","No")</f>
        <v>No</v>
      </c>
      <c r="AI83" s="18"/>
      <c r="AJ83" s="18" t="str">
        <f>IF(T_MEASURES[[#This Row],[Education]],"Yes","No")</f>
        <v>No</v>
      </c>
      <c r="AK83" s="18">
        <v>1</v>
      </c>
      <c r="AL83" s="18" t="str">
        <f>IF(T_MEASURES[[#This Row],[Social Services]],"Yes","No")</f>
        <v>Yes</v>
      </c>
      <c r="AM83" s="18"/>
      <c r="AN83" s="18" t="str">
        <f>IF(T_MEASURES[[#This Row],[Emergency Services and Police]],"Yes","No")</f>
        <v>No</v>
      </c>
      <c r="AO83" s="18"/>
      <c r="AP83" s="18" t="str">
        <f>IF(T_MEASURES[[#This Row],[Parks and gardens (Urban Green Infrastructure)]],"Yes","No")</f>
        <v>No</v>
      </c>
      <c r="AQ83" s="18"/>
      <c r="AR83" s="18" t="str">
        <f>IF(T_MEASURES[[#This Row],[Transport]],"Yes","No")</f>
        <v>No</v>
      </c>
      <c r="AS83" s="158">
        <v>1</v>
      </c>
      <c r="AT83" s="1" t="str">
        <f>IF(T_MEASURES[[#This Row],[Coordination]],"Yes","No")</f>
        <v>Yes</v>
      </c>
      <c r="AU83" s="2">
        <v>1</v>
      </c>
      <c r="AV83" s="1">
        <v>1</v>
      </c>
      <c r="AW83" s="1">
        <v>1</v>
      </c>
      <c r="AX83" s="1">
        <v>1</v>
      </c>
      <c r="AY83" s="3">
        <v>1</v>
      </c>
      <c r="AZ83" s="86">
        <f>SUMPRODUCT($AT$15:$AX$15,T_MEASURES[[#This Row],[&lt;5.000]:[&gt;100.000]])</f>
        <v>1</v>
      </c>
      <c r="BA83" s="1">
        <v>1</v>
      </c>
      <c r="BB83" s="1">
        <v>1</v>
      </c>
      <c r="BC83" s="1">
        <v>1</v>
      </c>
      <c r="BD83" s="1">
        <v>1</v>
      </c>
      <c r="BE83" s="1">
        <v>1</v>
      </c>
      <c r="BF83" s="1">
        <v>1</v>
      </c>
      <c r="BG83" s="1">
        <v>1</v>
      </c>
      <c r="BH83" s="86" cm="1">
        <f t="array" ref="BH83">SUMPRODUCT(--((T_MEASURES[[#This Row],[Health or social care centers]:[Schools / Educational centers]] + $AZ$15:$BF$15)&gt;0))</f>
        <v>7</v>
      </c>
      <c r="BI83" s="1">
        <v>0</v>
      </c>
      <c r="BJ83" s="1">
        <v>0</v>
      </c>
      <c r="BK83" s="1">
        <v>3</v>
      </c>
      <c r="BL83" s="1">
        <v>2</v>
      </c>
      <c r="BM83" s="1">
        <v>2</v>
      </c>
      <c r="BN83" s="1">
        <v>2</v>
      </c>
      <c r="BO83" s="1">
        <v>3</v>
      </c>
      <c r="BP83" s="1">
        <v>2</v>
      </c>
      <c r="BQ83" s="96" cm="1">
        <f t="array" ref="BQ83">T_MEASURES[[#This Row],[Apply size]]*(SUMPRODUCT(T_MEASURES[[#This Row],[C1_Urban Cooling]:[C8_Time]],TRANSPOSE('2.WEIGHTS'!$L$12:$L$19))+(ROW(C83)-ROW($C$18)+1)*0.0000000001)*100</f>
        <v>175.00000066000001</v>
      </c>
      <c r="BR83" s="21"/>
      <c r="BS83" s="38"/>
    </row>
    <row r="84" spans="1:71" ht="33.6" x14ac:dyDescent="0.3">
      <c r="A84" s="21"/>
      <c r="B84" s="38"/>
      <c r="C84" s="21"/>
      <c r="D84" s="86">
        <f>IF(T_MEASURES[[#This Row],[Weight Criterion]]&lt;=0,"",_xlfn.RANK.EQ(T_MEASURES[[#This Row],[Weight Criterion]],T_MEASURES[Weight Criterion]))</f>
        <v>73</v>
      </c>
      <c r="E84" s="152" t="s">
        <v>261</v>
      </c>
      <c r="F84" s="150" t="s">
        <v>431</v>
      </c>
      <c r="G84" s="150" t="s">
        <v>42</v>
      </c>
      <c r="H84" s="150" t="s">
        <v>126</v>
      </c>
      <c r="I84" s="150" t="s">
        <v>262</v>
      </c>
      <c r="J84" s="150"/>
      <c r="K84" s="153">
        <v>1</v>
      </c>
      <c r="L84" s="18"/>
      <c r="M84" s="18"/>
      <c r="N84" s="154" t="str">
        <f t="shared" si="3"/>
        <v>€</v>
      </c>
      <c r="O84" s="155"/>
      <c r="P84" s="155"/>
      <c r="Q84" s="19">
        <v>1</v>
      </c>
      <c r="R84" s="155">
        <v>1</v>
      </c>
      <c r="S84" s="72" t="str">
        <f>IF(T_MEASURES[[#This Row],[No risk (0)]]=1,"■","")</f>
        <v/>
      </c>
      <c r="T84" s="73" t="str">
        <f>IF(T_MEASURES[[#This Row],[Low risk (1)]]=1,"■","")</f>
        <v/>
      </c>
      <c r="U84" s="74" t="str">
        <f>IF(T_MEASURES[[#This Row],[Medium risk (2)]]=1,"■","")</f>
        <v>■</v>
      </c>
      <c r="V84" s="71" t="str">
        <f>IF(T_MEASURES[[#This Row],[High risk (3)]]=1,"■","")</f>
        <v>■</v>
      </c>
      <c r="W84" s="18" t="str">
        <f t="shared" si="4"/>
        <v>4. High (Red)</v>
      </c>
      <c r="X84" s="18">
        <f>COUNT(T_MEASURES[[#This Row],[Buildings and public facilities]:[Coordination]])</f>
        <v>2</v>
      </c>
      <c r="Y84" s="18">
        <v>1</v>
      </c>
      <c r="Z84" s="18" t="str">
        <f>IF(T_MEASURES[[#This Row],[Buildings and public facilities]]=1,"Yes","No")</f>
        <v>Yes</v>
      </c>
      <c r="AA84" s="18"/>
      <c r="AB84" s="18" t="str">
        <f>IF(T_MEASURES[[#This Row],[Urban planning]]=1,"Yes","No")</f>
        <v>No</v>
      </c>
      <c r="AC84" s="18">
        <v>1</v>
      </c>
      <c r="AD84" s="18" t="str">
        <f>IF(T_MEASURES[[#This Row],[Culture and Sports]],"Yes","No")</f>
        <v>Yes</v>
      </c>
      <c r="AE84" s="18"/>
      <c r="AF84" s="18" t="str">
        <f>IF(T_MEASURES[[#This Row],[Tourism]],"Yes","No")</f>
        <v>No</v>
      </c>
      <c r="AG84" s="18"/>
      <c r="AH84" s="18" t="str">
        <f>IF(T_MEASURES[[#This Row],[Occupational risks]],"Yes","No")</f>
        <v>No</v>
      </c>
      <c r="AI84" s="18"/>
      <c r="AJ84" s="18" t="str">
        <f>IF(T_MEASURES[[#This Row],[Education]],"Yes","No")</f>
        <v>No</v>
      </c>
      <c r="AK84" s="18"/>
      <c r="AL84" s="18" t="str">
        <f>IF(T_MEASURES[[#This Row],[Social Services]],"Yes","No")</f>
        <v>No</v>
      </c>
      <c r="AM84" s="18"/>
      <c r="AN84" s="18" t="str">
        <f>IF(T_MEASURES[[#This Row],[Emergency Services and Police]],"Yes","No")</f>
        <v>No</v>
      </c>
      <c r="AO84" s="18"/>
      <c r="AP84" s="18" t="str">
        <f>IF(T_MEASURES[[#This Row],[Parks and gardens (Urban Green Infrastructure)]],"Yes","No")</f>
        <v>No</v>
      </c>
      <c r="AQ84" s="18"/>
      <c r="AR84" s="18" t="str">
        <f>IF(T_MEASURES[[#This Row],[Transport]],"Yes","No")</f>
        <v>No</v>
      </c>
      <c r="AS84" s="158"/>
      <c r="AT84" s="1" t="str">
        <f>IF(T_MEASURES[[#This Row],[Coordination]],"Yes","No")</f>
        <v>No</v>
      </c>
      <c r="AU84" s="2">
        <v>1</v>
      </c>
      <c r="AV84" s="1">
        <v>1</v>
      </c>
      <c r="AW84" s="1">
        <v>1</v>
      </c>
      <c r="AX84" s="1">
        <v>1</v>
      </c>
      <c r="AY84" s="3">
        <v>1</v>
      </c>
      <c r="AZ84" s="86">
        <f>SUMPRODUCT($AT$15:$AX$15,T_MEASURES[[#This Row],[&lt;5.000]:[&gt;100.000]])</f>
        <v>1</v>
      </c>
      <c r="BA84" s="1">
        <v>1</v>
      </c>
      <c r="BB84" s="1">
        <v>1</v>
      </c>
      <c r="BC84" s="1">
        <v>1</v>
      </c>
      <c r="BD84" s="1">
        <v>1</v>
      </c>
      <c r="BE84" s="1">
        <v>1</v>
      </c>
      <c r="BF84" s="1">
        <v>1</v>
      </c>
      <c r="BG84" s="1">
        <v>1</v>
      </c>
      <c r="BH84" s="86" cm="1">
        <f t="array" ref="BH84">SUMPRODUCT(--((T_MEASURES[[#This Row],[Health or social care centers]:[Schools / Educational centers]] + $AZ$15:$BF$15)&gt;0))</f>
        <v>7</v>
      </c>
      <c r="BI84" s="88">
        <v>0</v>
      </c>
      <c r="BJ84" s="88">
        <v>0</v>
      </c>
      <c r="BK84" s="88">
        <v>2</v>
      </c>
      <c r="BL84" s="88">
        <v>2</v>
      </c>
      <c r="BM84" s="88">
        <v>3</v>
      </c>
      <c r="BN84" s="88">
        <v>2</v>
      </c>
      <c r="BO84" s="88">
        <v>3</v>
      </c>
      <c r="BP84" s="88">
        <v>3</v>
      </c>
      <c r="BQ84" s="96" cm="1">
        <f t="array" ref="BQ84">T_MEASURES[[#This Row],[Apply size]]*(SUMPRODUCT(T_MEASURES[[#This Row],[C1_Urban Cooling]:[C8_Time]],TRANSPOSE('2.WEIGHTS'!$L$12:$L$19))+(ROW(C84)-ROW($C$18)+1)*0.0000000001)*100</f>
        <v>187.50000067000002</v>
      </c>
      <c r="BR84" s="21"/>
      <c r="BS84" s="38"/>
    </row>
    <row r="85" spans="1:71" ht="33.6" x14ac:dyDescent="0.3">
      <c r="A85" s="21"/>
      <c r="B85" s="38"/>
      <c r="C85" s="21"/>
      <c r="D85" s="86">
        <f>IF(T_MEASURES[[#This Row],[Weight Criterion]]&lt;=0,"",_xlfn.RANK.EQ(T_MEASURES[[#This Row],[Weight Criterion]],T_MEASURES[Weight Criterion]))</f>
        <v>88</v>
      </c>
      <c r="E85" s="152" t="s">
        <v>263</v>
      </c>
      <c r="F85" s="150" t="s">
        <v>431</v>
      </c>
      <c r="G85" s="150" t="s">
        <v>42</v>
      </c>
      <c r="H85" s="150" t="s">
        <v>126</v>
      </c>
      <c r="I85" s="150" t="s">
        <v>264</v>
      </c>
      <c r="J85" s="150"/>
      <c r="K85" s="153">
        <v>1</v>
      </c>
      <c r="L85" s="18"/>
      <c r="M85" s="18"/>
      <c r="N85" s="154" t="str">
        <f t="shared" si="3"/>
        <v>€</v>
      </c>
      <c r="O85" s="155"/>
      <c r="P85" s="155"/>
      <c r="Q85" s="19">
        <v>1</v>
      </c>
      <c r="R85" s="155">
        <v>1</v>
      </c>
      <c r="S85" s="72" t="str">
        <f>IF(T_MEASURES[[#This Row],[No risk (0)]]=1,"■","")</f>
        <v/>
      </c>
      <c r="T85" s="73" t="str">
        <f>IF(T_MEASURES[[#This Row],[Low risk (1)]]=1,"■","")</f>
        <v/>
      </c>
      <c r="U85" s="74" t="str">
        <f>IF(T_MEASURES[[#This Row],[Medium risk (2)]]=1,"■","")</f>
        <v>■</v>
      </c>
      <c r="V85" s="71" t="str">
        <f>IF(T_MEASURES[[#This Row],[High risk (3)]]=1,"■","")</f>
        <v>■</v>
      </c>
      <c r="W85" s="18" t="str">
        <f t="shared" si="4"/>
        <v>4. High (Red)</v>
      </c>
      <c r="X85" s="18">
        <f>COUNT(T_MEASURES[[#This Row],[Buildings and public facilities]:[Coordination]])</f>
        <v>1</v>
      </c>
      <c r="Y85" s="18"/>
      <c r="Z85" s="18" t="str">
        <f>IF(T_MEASURES[[#This Row],[Buildings and public facilities]]=1,"Yes","No")</f>
        <v>No</v>
      </c>
      <c r="AA85" s="18"/>
      <c r="AB85" s="18" t="str">
        <f>IF(T_MEASURES[[#This Row],[Urban planning]]=1,"Yes","No")</f>
        <v>No</v>
      </c>
      <c r="AC85" s="18"/>
      <c r="AD85" s="18" t="str">
        <f>IF(T_MEASURES[[#This Row],[Culture and Sports]],"Yes","No")</f>
        <v>No</v>
      </c>
      <c r="AE85" s="18"/>
      <c r="AF85" s="18" t="str">
        <f>IF(T_MEASURES[[#This Row],[Tourism]],"Yes","No")</f>
        <v>No</v>
      </c>
      <c r="AG85" s="18"/>
      <c r="AH85" s="18" t="str">
        <f>IF(T_MEASURES[[#This Row],[Occupational risks]],"Yes","No")</f>
        <v>No</v>
      </c>
      <c r="AI85" s="18"/>
      <c r="AJ85" s="18" t="str">
        <f>IF(T_MEASURES[[#This Row],[Education]],"Yes","No")</f>
        <v>No</v>
      </c>
      <c r="AK85" s="18">
        <v>1</v>
      </c>
      <c r="AL85" s="18" t="str">
        <f>IF(T_MEASURES[[#This Row],[Social Services]],"Yes","No")</f>
        <v>Yes</v>
      </c>
      <c r="AM85" s="18"/>
      <c r="AN85" s="18" t="str">
        <f>IF(T_MEASURES[[#This Row],[Emergency Services and Police]],"Yes","No")</f>
        <v>No</v>
      </c>
      <c r="AO85" s="18"/>
      <c r="AP85" s="18" t="str">
        <f>IF(T_MEASURES[[#This Row],[Parks and gardens (Urban Green Infrastructure)]],"Yes","No")</f>
        <v>No</v>
      </c>
      <c r="AQ85" s="18"/>
      <c r="AR85" s="18" t="str">
        <f>IF(T_MEASURES[[#This Row],[Transport]],"Yes","No")</f>
        <v>No</v>
      </c>
      <c r="AS85" s="158"/>
      <c r="AT85" s="1" t="str">
        <f>IF(T_MEASURES[[#This Row],[Coordination]],"Yes","No")</f>
        <v>No</v>
      </c>
      <c r="AU85" s="2">
        <v>1</v>
      </c>
      <c r="AV85" s="1">
        <v>1</v>
      </c>
      <c r="AW85" s="1">
        <v>1</v>
      </c>
      <c r="AX85" s="1">
        <v>1</v>
      </c>
      <c r="AY85" s="3">
        <v>1</v>
      </c>
      <c r="AZ85" s="86">
        <f>SUMPRODUCT($AT$15:$AX$15,T_MEASURES[[#This Row],[&lt;5.000]:[&gt;100.000]])</f>
        <v>1</v>
      </c>
      <c r="BA85" s="1">
        <v>1</v>
      </c>
      <c r="BB85" s="1">
        <v>1</v>
      </c>
      <c r="BC85" s="1">
        <v>1</v>
      </c>
      <c r="BD85" s="1">
        <v>1</v>
      </c>
      <c r="BE85" s="1">
        <v>1</v>
      </c>
      <c r="BF85" s="1">
        <v>1</v>
      </c>
      <c r="BG85" s="1">
        <v>1</v>
      </c>
      <c r="BH85" s="86" cm="1">
        <f t="array" ref="BH85">SUMPRODUCT(--((T_MEASURES[[#This Row],[Health or social care centers]:[Schools / Educational centers]] + $AZ$15:$BF$15)&gt;0))</f>
        <v>7</v>
      </c>
      <c r="BI85" s="1">
        <v>0</v>
      </c>
      <c r="BJ85" s="1">
        <v>0</v>
      </c>
      <c r="BK85" s="1">
        <v>2</v>
      </c>
      <c r="BL85" s="1">
        <v>2</v>
      </c>
      <c r="BM85" s="1">
        <v>2</v>
      </c>
      <c r="BN85" s="1">
        <v>2</v>
      </c>
      <c r="BO85" s="1">
        <v>3</v>
      </c>
      <c r="BP85" s="1">
        <v>3</v>
      </c>
      <c r="BQ85" s="96" cm="1">
        <f t="array" ref="BQ85">T_MEASURES[[#This Row],[Apply size]]*(SUMPRODUCT(T_MEASURES[[#This Row],[C1_Urban Cooling]:[C8_Time]],TRANSPOSE('2.WEIGHTS'!$L$12:$L$19))+(ROW(C85)-ROW($C$18)+1)*0.0000000001)*100</f>
        <v>175.00000068</v>
      </c>
      <c r="BR85" s="21"/>
      <c r="BS85" s="38"/>
    </row>
    <row r="86" spans="1:71" ht="33.6" x14ac:dyDescent="0.3">
      <c r="A86" s="21"/>
      <c r="B86" s="38"/>
      <c r="C86" s="21"/>
      <c r="D86" s="86">
        <f>IF(T_MEASURES[[#This Row],[Weight Criterion]]&lt;=0,"",_xlfn.RANK.EQ(T_MEASURES[[#This Row],[Weight Criterion]],T_MEASURES[Weight Criterion]))</f>
        <v>72</v>
      </c>
      <c r="E86" s="152" t="s">
        <v>265</v>
      </c>
      <c r="F86" s="150" t="s">
        <v>431</v>
      </c>
      <c r="G86" s="150" t="s">
        <v>42</v>
      </c>
      <c r="H86" s="150" t="s">
        <v>126</v>
      </c>
      <c r="I86" s="150" t="s">
        <v>266</v>
      </c>
      <c r="J86" s="150"/>
      <c r="K86" s="153">
        <v>1</v>
      </c>
      <c r="L86" s="18"/>
      <c r="M86" s="18"/>
      <c r="N86" s="154" t="str">
        <f t="shared" si="3"/>
        <v>€</v>
      </c>
      <c r="O86" s="155"/>
      <c r="P86" s="155"/>
      <c r="Q86" s="19">
        <v>1</v>
      </c>
      <c r="R86" s="155">
        <v>1</v>
      </c>
      <c r="S86" s="72" t="str">
        <f>IF(T_MEASURES[[#This Row],[No risk (0)]]=1,"■","")</f>
        <v/>
      </c>
      <c r="T86" s="73" t="str">
        <f>IF(T_MEASURES[[#This Row],[Low risk (1)]]=1,"■","")</f>
        <v/>
      </c>
      <c r="U86" s="74" t="str">
        <f>IF(T_MEASURES[[#This Row],[Medium risk (2)]]=1,"■","")</f>
        <v>■</v>
      </c>
      <c r="V86" s="71" t="str">
        <f>IF(T_MEASURES[[#This Row],[High risk (3)]]=1,"■","")</f>
        <v>■</v>
      </c>
      <c r="W86" s="18" t="str">
        <f t="shared" si="4"/>
        <v>4. High (Red)</v>
      </c>
      <c r="X86" s="18">
        <f>COUNT(T_MEASURES[[#This Row],[Buildings and public facilities]:[Coordination]])</f>
        <v>1</v>
      </c>
      <c r="Y86" s="18"/>
      <c r="Z86" s="18" t="str">
        <f>IF(T_MEASURES[[#This Row],[Buildings and public facilities]]=1,"Yes","No")</f>
        <v>No</v>
      </c>
      <c r="AA86" s="18"/>
      <c r="AB86" s="18" t="str">
        <f>IF(T_MEASURES[[#This Row],[Urban planning]]=1,"Yes","No")</f>
        <v>No</v>
      </c>
      <c r="AC86" s="18"/>
      <c r="AD86" s="18" t="str">
        <f>IF(T_MEASURES[[#This Row],[Culture and Sports]],"Yes","No")</f>
        <v>No</v>
      </c>
      <c r="AE86" s="18"/>
      <c r="AF86" s="18" t="str">
        <f>IF(T_MEASURES[[#This Row],[Tourism]],"Yes","No")</f>
        <v>No</v>
      </c>
      <c r="AG86" s="18"/>
      <c r="AH86" s="18" t="str">
        <f>IF(T_MEASURES[[#This Row],[Occupational risks]],"Yes","No")</f>
        <v>No</v>
      </c>
      <c r="AI86" s="18"/>
      <c r="AJ86" s="18" t="str">
        <f>IF(T_MEASURES[[#This Row],[Education]],"Yes","No")</f>
        <v>No</v>
      </c>
      <c r="AK86" s="18"/>
      <c r="AL86" s="18" t="str">
        <f>IF(T_MEASURES[[#This Row],[Social Services]],"Yes","No")</f>
        <v>No</v>
      </c>
      <c r="AM86" s="18">
        <v>1</v>
      </c>
      <c r="AN86" s="18" t="str">
        <f>IF(T_MEASURES[[#This Row],[Emergency Services and Police]],"Yes","No")</f>
        <v>Yes</v>
      </c>
      <c r="AO86" s="18"/>
      <c r="AP86" s="18" t="str">
        <f>IF(T_MEASURES[[#This Row],[Parks and gardens (Urban Green Infrastructure)]],"Yes","No")</f>
        <v>No</v>
      </c>
      <c r="AQ86" s="18"/>
      <c r="AR86" s="18" t="str">
        <f>IF(T_MEASURES[[#This Row],[Transport]],"Yes","No")</f>
        <v>No</v>
      </c>
      <c r="AS86" s="158"/>
      <c r="AT86" s="1" t="str">
        <f>IF(T_MEASURES[[#This Row],[Coordination]],"Yes","No")</f>
        <v>No</v>
      </c>
      <c r="AU86" s="2">
        <v>1</v>
      </c>
      <c r="AV86" s="1">
        <v>1</v>
      </c>
      <c r="AW86" s="1">
        <v>1</v>
      </c>
      <c r="AX86" s="1">
        <v>1</v>
      </c>
      <c r="AY86" s="3">
        <v>1</v>
      </c>
      <c r="AZ86" s="86">
        <f>SUMPRODUCT($AT$15:$AX$15,T_MEASURES[[#This Row],[&lt;5.000]:[&gt;100.000]])</f>
        <v>1</v>
      </c>
      <c r="BA86" s="1">
        <v>1</v>
      </c>
      <c r="BB86" s="1">
        <v>1</v>
      </c>
      <c r="BC86" s="1">
        <v>1</v>
      </c>
      <c r="BD86" s="1"/>
      <c r="BE86" s="1">
        <v>1</v>
      </c>
      <c r="BF86" s="1"/>
      <c r="BG86" s="1">
        <v>1</v>
      </c>
      <c r="BH86" s="86" cm="1">
        <f t="array" ref="BH86">SUMPRODUCT(--((T_MEASURES[[#This Row],[Health or social care centers]:[Schools / Educational centers]] + $AZ$15:$BF$15)&gt;0))</f>
        <v>5</v>
      </c>
      <c r="BI86" s="88">
        <v>0</v>
      </c>
      <c r="BJ86" s="88">
        <v>0</v>
      </c>
      <c r="BK86" s="88">
        <v>2</v>
      </c>
      <c r="BL86" s="88">
        <v>2</v>
      </c>
      <c r="BM86" s="88">
        <v>3</v>
      </c>
      <c r="BN86" s="88">
        <v>2</v>
      </c>
      <c r="BO86" s="88">
        <v>3</v>
      </c>
      <c r="BP86" s="88">
        <v>3</v>
      </c>
      <c r="BQ86" s="96" cm="1">
        <f t="array" ref="BQ86">T_MEASURES[[#This Row],[Apply size]]*(SUMPRODUCT(T_MEASURES[[#This Row],[C1_Urban Cooling]:[C8_Time]],TRANSPOSE('2.WEIGHTS'!$L$12:$L$19))+(ROW(C86)-ROW($C$18)+1)*0.0000000001)*100</f>
        <v>187.50000068999998</v>
      </c>
      <c r="BR86" s="21"/>
      <c r="BS86" s="38"/>
    </row>
    <row r="87" spans="1:71" ht="33.6" x14ac:dyDescent="0.3">
      <c r="A87" s="21"/>
      <c r="B87" s="38"/>
      <c r="C87" s="21"/>
      <c r="D87" s="86">
        <f>IF(T_MEASURES[[#This Row],[Weight Criterion]]&lt;=0,"",_xlfn.RANK.EQ(T_MEASURES[[#This Row],[Weight Criterion]],T_MEASURES[Weight Criterion]))</f>
        <v>34</v>
      </c>
      <c r="E87" s="152" t="s">
        <v>267</v>
      </c>
      <c r="F87" s="150" t="s">
        <v>431</v>
      </c>
      <c r="G87" s="150" t="s">
        <v>42</v>
      </c>
      <c r="H87" s="150" t="s">
        <v>126</v>
      </c>
      <c r="I87" s="151" t="s">
        <v>268</v>
      </c>
      <c r="J87" s="151"/>
      <c r="K87" s="153">
        <v>1</v>
      </c>
      <c r="L87" s="18"/>
      <c r="M87" s="18"/>
      <c r="N87" s="154" t="str">
        <f t="shared" si="3"/>
        <v>€</v>
      </c>
      <c r="O87" s="155"/>
      <c r="P87" s="155">
        <v>1</v>
      </c>
      <c r="Q87" s="19">
        <v>1</v>
      </c>
      <c r="R87" s="155">
        <v>1</v>
      </c>
      <c r="S87" s="72" t="str">
        <f>IF(T_MEASURES[[#This Row],[No risk (0)]]=1,"■","")</f>
        <v/>
      </c>
      <c r="T87" s="73" t="str">
        <f>IF(T_MEASURES[[#This Row],[Low risk (1)]]=1,"■","")</f>
        <v>■</v>
      </c>
      <c r="U87" s="74" t="str">
        <f>IF(T_MEASURES[[#This Row],[Medium risk (2)]]=1,"■","")</f>
        <v>■</v>
      </c>
      <c r="V87" s="71" t="str">
        <f>IF(T_MEASURES[[#This Row],[High risk (3)]]=1,"■","")</f>
        <v>■</v>
      </c>
      <c r="W87" s="18" t="str">
        <f t="shared" si="4"/>
        <v>4. High (Red)</v>
      </c>
      <c r="X87" s="18">
        <f>COUNT(T_MEASURES[[#This Row],[Buildings and public facilities]:[Coordination]])</f>
        <v>1</v>
      </c>
      <c r="Y87" s="18"/>
      <c r="Z87" s="18" t="str">
        <f>IF(T_MEASURES[[#This Row],[Buildings and public facilities]]=1,"Yes","No")</f>
        <v>No</v>
      </c>
      <c r="AA87" s="18"/>
      <c r="AB87" s="18" t="str">
        <f>IF(T_MEASURES[[#This Row],[Urban planning]]=1,"Yes","No")</f>
        <v>No</v>
      </c>
      <c r="AC87" s="18"/>
      <c r="AD87" s="18" t="str">
        <f>IF(T_MEASURES[[#This Row],[Culture and Sports]],"Yes","No")</f>
        <v>No</v>
      </c>
      <c r="AE87" s="18"/>
      <c r="AF87" s="18" t="str">
        <f>IF(T_MEASURES[[#This Row],[Tourism]],"Yes","No")</f>
        <v>No</v>
      </c>
      <c r="AG87" s="18"/>
      <c r="AH87" s="18" t="str">
        <f>IF(T_MEASURES[[#This Row],[Occupational risks]],"Yes","No")</f>
        <v>No</v>
      </c>
      <c r="AI87" s="18"/>
      <c r="AJ87" s="18" t="str">
        <f>IF(T_MEASURES[[#This Row],[Education]],"Yes","No")</f>
        <v>No</v>
      </c>
      <c r="AK87" s="18"/>
      <c r="AL87" s="18" t="str">
        <f>IF(T_MEASURES[[#This Row],[Social Services]],"Yes","No")</f>
        <v>No</v>
      </c>
      <c r="AM87" s="18"/>
      <c r="AN87" s="18" t="str">
        <f>IF(T_MEASURES[[#This Row],[Emergency Services and Police]],"Yes","No")</f>
        <v>No</v>
      </c>
      <c r="AO87" s="18"/>
      <c r="AP87" s="18" t="str">
        <f>IF(T_MEASURES[[#This Row],[Parks and gardens (Urban Green Infrastructure)]],"Yes","No")</f>
        <v>No</v>
      </c>
      <c r="AQ87" s="18"/>
      <c r="AR87" s="18" t="str">
        <f>IF(T_MEASURES[[#This Row],[Transport]],"Yes","No")</f>
        <v>No</v>
      </c>
      <c r="AS87" s="158">
        <v>1</v>
      </c>
      <c r="AT87" s="1" t="str">
        <f>IF(T_MEASURES[[#This Row],[Coordination]],"Yes","No")</f>
        <v>Yes</v>
      </c>
      <c r="AU87" s="2">
        <v>1</v>
      </c>
      <c r="AV87" s="1">
        <v>1</v>
      </c>
      <c r="AW87" s="1">
        <v>1</v>
      </c>
      <c r="AX87" s="1">
        <v>1</v>
      </c>
      <c r="AY87" s="3">
        <v>1</v>
      </c>
      <c r="AZ87" s="86">
        <f>SUMPRODUCT($AT$15:$AX$15,T_MEASURES[[#This Row],[&lt;5.000]:[&gt;100.000]])</f>
        <v>1</v>
      </c>
      <c r="BA87" s="1">
        <v>1</v>
      </c>
      <c r="BB87" s="1">
        <v>1</v>
      </c>
      <c r="BC87" s="1">
        <v>1</v>
      </c>
      <c r="BD87" s="1">
        <v>1</v>
      </c>
      <c r="BE87" s="1">
        <v>1</v>
      </c>
      <c r="BF87" s="1">
        <v>1</v>
      </c>
      <c r="BG87" s="1">
        <v>1</v>
      </c>
      <c r="BH87" s="86" cm="1">
        <f t="array" ref="BH87">SUMPRODUCT(--((T_MEASURES[[#This Row],[Health or social care centers]:[Schools / Educational centers]] + $AZ$15:$BF$15)&gt;0))</f>
        <v>7</v>
      </c>
      <c r="BI87" s="1">
        <v>0</v>
      </c>
      <c r="BJ87" s="1">
        <v>0</v>
      </c>
      <c r="BK87" s="1">
        <v>3</v>
      </c>
      <c r="BL87" s="1">
        <v>2</v>
      </c>
      <c r="BM87" s="1">
        <v>3</v>
      </c>
      <c r="BN87" s="1">
        <v>2</v>
      </c>
      <c r="BO87" s="1">
        <v>3</v>
      </c>
      <c r="BP87" s="1">
        <v>3</v>
      </c>
      <c r="BQ87" s="96" cm="1">
        <f t="array" ref="BQ87">T_MEASURES[[#This Row],[Apply size]]*(SUMPRODUCT(T_MEASURES[[#This Row],[C1_Urban Cooling]:[C8_Time]],TRANSPOSE('2.WEIGHTS'!$L$12:$L$19))+(ROW(C87)-ROW($C$18)+1)*0.0000000001)*100</f>
        <v>200.00000070000002</v>
      </c>
      <c r="BR87" s="21"/>
      <c r="BS87" s="38"/>
    </row>
    <row r="88" spans="1:71" ht="33.6" x14ac:dyDescent="0.3">
      <c r="A88" s="21"/>
      <c r="B88" s="38"/>
      <c r="C88" s="21"/>
      <c r="D88" s="86">
        <f>IF(T_MEASURES[[#This Row],[Weight Criterion]]&lt;=0,"",_xlfn.RANK.EQ(T_MEASURES[[#This Row],[Weight Criterion]],T_MEASURES[Weight Criterion]))</f>
        <v>87</v>
      </c>
      <c r="E88" s="152" t="s">
        <v>269</v>
      </c>
      <c r="F88" s="150" t="s">
        <v>431</v>
      </c>
      <c r="G88" s="150" t="s">
        <v>42</v>
      </c>
      <c r="H88" s="150" t="s">
        <v>126</v>
      </c>
      <c r="I88" s="150" t="s">
        <v>270</v>
      </c>
      <c r="J88" s="150"/>
      <c r="K88" s="153">
        <v>1</v>
      </c>
      <c r="L88" s="18"/>
      <c r="M88" s="18"/>
      <c r="N88" s="154" t="str">
        <f t="shared" si="3"/>
        <v>€</v>
      </c>
      <c r="O88" s="155"/>
      <c r="P88" s="155"/>
      <c r="Q88" s="19">
        <v>1</v>
      </c>
      <c r="R88" s="155">
        <v>1</v>
      </c>
      <c r="S88" s="72" t="str">
        <f>IF(T_MEASURES[[#This Row],[No risk (0)]]=1,"■","")</f>
        <v/>
      </c>
      <c r="T88" s="73" t="str">
        <f>IF(T_MEASURES[[#This Row],[Low risk (1)]]=1,"■","")</f>
        <v/>
      </c>
      <c r="U88" s="74" t="str">
        <f>IF(T_MEASURES[[#This Row],[Medium risk (2)]]=1,"■","")</f>
        <v>■</v>
      </c>
      <c r="V88" s="71" t="str">
        <f>IF(T_MEASURES[[#This Row],[High risk (3)]]=1,"■","")</f>
        <v>■</v>
      </c>
      <c r="W88" s="18" t="str">
        <f t="shared" si="4"/>
        <v>4. High (Red)</v>
      </c>
      <c r="X88" s="18">
        <f>COUNT(T_MEASURES[[#This Row],[Buildings and public facilities]:[Coordination]])</f>
        <v>1</v>
      </c>
      <c r="Y88" s="18"/>
      <c r="Z88" s="18" t="str">
        <f>IF(T_MEASURES[[#This Row],[Buildings and public facilities]]=1,"Yes","No")</f>
        <v>No</v>
      </c>
      <c r="AA88" s="18"/>
      <c r="AB88" s="18" t="str">
        <f>IF(T_MEASURES[[#This Row],[Urban planning]]=1,"Yes","No")</f>
        <v>No</v>
      </c>
      <c r="AC88" s="18"/>
      <c r="AD88" s="18" t="str">
        <f>IF(T_MEASURES[[#This Row],[Culture and Sports]],"Yes","No")</f>
        <v>No</v>
      </c>
      <c r="AE88" s="18"/>
      <c r="AF88" s="18" t="str">
        <f>IF(T_MEASURES[[#This Row],[Tourism]],"Yes","No")</f>
        <v>No</v>
      </c>
      <c r="AG88" s="18"/>
      <c r="AH88" s="18" t="str">
        <f>IF(T_MEASURES[[#This Row],[Occupational risks]],"Yes","No")</f>
        <v>No</v>
      </c>
      <c r="AI88" s="18"/>
      <c r="AJ88" s="18" t="str">
        <f>IF(T_MEASURES[[#This Row],[Education]],"Yes","No")</f>
        <v>No</v>
      </c>
      <c r="AK88" s="18"/>
      <c r="AL88" s="18" t="str">
        <f>IF(T_MEASURES[[#This Row],[Social Services]],"Yes","No")</f>
        <v>No</v>
      </c>
      <c r="AM88" s="18"/>
      <c r="AN88" s="18" t="str">
        <f>IF(T_MEASURES[[#This Row],[Emergency Services and Police]],"Yes","No")</f>
        <v>No</v>
      </c>
      <c r="AO88" s="18"/>
      <c r="AP88" s="18" t="str">
        <f>IF(T_MEASURES[[#This Row],[Parks and gardens (Urban Green Infrastructure)]],"Yes","No")</f>
        <v>No</v>
      </c>
      <c r="AQ88" s="18"/>
      <c r="AR88" s="18" t="str">
        <f>IF(T_MEASURES[[#This Row],[Transport]],"Yes","No")</f>
        <v>No</v>
      </c>
      <c r="AS88" s="158">
        <v>1</v>
      </c>
      <c r="AT88" s="1" t="str">
        <f>IF(T_MEASURES[[#This Row],[Coordination]],"Yes","No")</f>
        <v>Yes</v>
      </c>
      <c r="AU88" s="2">
        <v>1</v>
      </c>
      <c r="AV88" s="1">
        <v>1</v>
      </c>
      <c r="AW88" s="1">
        <v>1</v>
      </c>
      <c r="AX88" s="1">
        <v>1</v>
      </c>
      <c r="AY88" s="3">
        <v>1</v>
      </c>
      <c r="AZ88" s="86">
        <f>SUMPRODUCT($AT$15:$AX$15,T_MEASURES[[#This Row],[&lt;5.000]:[&gt;100.000]])</f>
        <v>1</v>
      </c>
      <c r="BA88" s="1">
        <v>1</v>
      </c>
      <c r="BB88" s="1">
        <v>1</v>
      </c>
      <c r="BC88" s="1">
        <v>1</v>
      </c>
      <c r="BD88" s="1">
        <v>1</v>
      </c>
      <c r="BE88" s="1">
        <v>1</v>
      </c>
      <c r="BF88" s="1">
        <v>1</v>
      </c>
      <c r="BG88" s="1">
        <v>1</v>
      </c>
      <c r="BH88" s="86" cm="1">
        <f t="array" ref="BH88">SUMPRODUCT(--((T_MEASURES[[#This Row],[Health or social care centers]:[Schools / Educational centers]] + $AZ$15:$BF$15)&gt;0))</f>
        <v>7</v>
      </c>
      <c r="BI88" s="88">
        <v>0</v>
      </c>
      <c r="BJ88" s="88">
        <v>0</v>
      </c>
      <c r="BK88" s="88">
        <v>2</v>
      </c>
      <c r="BL88" s="88">
        <v>1</v>
      </c>
      <c r="BM88" s="88">
        <v>3</v>
      </c>
      <c r="BN88" s="88">
        <v>2</v>
      </c>
      <c r="BO88" s="88">
        <v>3</v>
      </c>
      <c r="BP88" s="88">
        <v>3</v>
      </c>
      <c r="BQ88" s="96" cm="1">
        <f t="array" ref="BQ88">T_MEASURES[[#This Row],[Apply size]]*(SUMPRODUCT(T_MEASURES[[#This Row],[C1_Urban Cooling]:[C8_Time]],TRANSPOSE('2.WEIGHTS'!$L$12:$L$19))+(ROW(C88)-ROW($C$18)+1)*0.0000000001)*100</f>
        <v>175.00000070999999</v>
      </c>
      <c r="BR88" s="21"/>
      <c r="BS88" s="38"/>
    </row>
    <row r="89" spans="1:71" ht="33.6" x14ac:dyDescent="0.3">
      <c r="A89" s="21"/>
      <c r="B89" s="38"/>
      <c r="C89" s="21"/>
      <c r="D89" s="86">
        <f>IF(T_MEASURES[[#This Row],[Weight Criterion]]&lt;=0,"",_xlfn.RANK.EQ(T_MEASURES[[#This Row],[Weight Criterion]],T_MEASURES[Weight Criterion]))</f>
        <v>33</v>
      </c>
      <c r="E89" s="152" t="s">
        <v>271</v>
      </c>
      <c r="F89" s="150" t="s">
        <v>431</v>
      </c>
      <c r="G89" s="150" t="s">
        <v>44</v>
      </c>
      <c r="H89" s="150" t="s">
        <v>245</v>
      </c>
      <c r="I89" s="150" t="s">
        <v>272</v>
      </c>
      <c r="J89" s="150"/>
      <c r="K89" s="153">
        <v>1</v>
      </c>
      <c r="L89" s="18"/>
      <c r="M89" s="18"/>
      <c r="N89" s="154" t="str">
        <f t="shared" si="3"/>
        <v>€</v>
      </c>
      <c r="O89" s="155"/>
      <c r="P89" s="155"/>
      <c r="Q89" s="19">
        <v>1</v>
      </c>
      <c r="R89" s="155">
        <v>1</v>
      </c>
      <c r="S89" s="72" t="str">
        <f>IF(T_MEASURES[[#This Row],[No risk (0)]]=1,"■","")</f>
        <v/>
      </c>
      <c r="T89" s="73" t="str">
        <f>IF(T_MEASURES[[#This Row],[Low risk (1)]]=1,"■","")</f>
        <v/>
      </c>
      <c r="U89" s="74" t="str">
        <f>IF(T_MEASURES[[#This Row],[Medium risk (2)]]=1,"■","")</f>
        <v>■</v>
      </c>
      <c r="V89" s="71" t="str">
        <f>IF(T_MEASURES[[#This Row],[High risk (3)]]=1,"■","")</f>
        <v>■</v>
      </c>
      <c r="W89" s="18" t="str">
        <f t="shared" si="4"/>
        <v>4. High (Red)</v>
      </c>
      <c r="X89" s="18">
        <f>COUNT(T_MEASURES[[#This Row],[Buildings and public facilities]:[Coordination]])</f>
        <v>1</v>
      </c>
      <c r="Y89" s="18"/>
      <c r="Z89" s="18" t="str">
        <f>IF(T_MEASURES[[#This Row],[Buildings and public facilities]]=1,"Yes","No")</f>
        <v>No</v>
      </c>
      <c r="AA89" s="18"/>
      <c r="AB89" s="18" t="str">
        <f>IF(T_MEASURES[[#This Row],[Urban planning]]=1,"Yes","No")</f>
        <v>No</v>
      </c>
      <c r="AC89" s="18"/>
      <c r="AD89" s="18" t="str">
        <f>IF(T_MEASURES[[#This Row],[Culture and Sports]],"Yes","No")</f>
        <v>No</v>
      </c>
      <c r="AE89" s="18"/>
      <c r="AF89" s="18" t="str">
        <f>IF(T_MEASURES[[#This Row],[Tourism]],"Yes","No")</f>
        <v>No</v>
      </c>
      <c r="AG89" s="18">
        <v>1</v>
      </c>
      <c r="AH89" s="18" t="str">
        <f>IF(T_MEASURES[[#This Row],[Occupational risks]],"Yes","No")</f>
        <v>Yes</v>
      </c>
      <c r="AI89" s="18"/>
      <c r="AJ89" s="18" t="str">
        <f>IF(T_MEASURES[[#This Row],[Education]],"Yes","No")</f>
        <v>No</v>
      </c>
      <c r="AK89" s="18"/>
      <c r="AL89" s="18" t="str">
        <f>IF(T_MEASURES[[#This Row],[Social Services]],"Yes","No")</f>
        <v>No</v>
      </c>
      <c r="AM89" s="18"/>
      <c r="AN89" s="18" t="str">
        <f>IF(T_MEASURES[[#This Row],[Emergency Services and Police]],"Yes","No")</f>
        <v>No</v>
      </c>
      <c r="AO89" s="18"/>
      <c r="AP89" s="18" t="str">
        <f>IF(T_MEASURES[[#This Row],[Parks and gardens (Urban Green Infrastructure)]],"Yes","No")</f>
        <v>No</v>
      </c>
      <c r="AQ89" s="18"/>
      <c r="AR89" s="18" t="str">
        <f>IF(T_MEASURES[[#This Row],[Transport]],"Yes","No")</f>
        <v>No</v>
      </c>
      <c r="AS89" s="158"/>
      <c r="AT89" s="1" t="str">
        <f>IF(T_MEASURES[[#This Row],[Coordination]],"Yes","No")</f>
        <v>No</v>
      </c>
      <c r="AU89" s="2">
        <v>1</v>
      </c>
      <c r="AV89" s="1">
        <v>1</v>
      </c>
      <c r="AW89" s="1">
        <v>1</v>
      </c>
      <c r="AX89" s="1">
        <v>1</v>
      </c>
      <c r="AY89" s="3">
        <v>1</v>
      </c>
      <c r="AZ89" s="86">
        <f>SUMPRODUCT($AT$15:$AX$15,T_MEASURES[[#This Row],[&lt;5.000]:[&gt;100.000]])</f>
        <v>1</v>
      </c>
      <c r="BA89" s="1">
        <v>1</v>
      </c>
      <c r="BB89" s="1">
        <v>1</v>
      </c>
      <c r="BC89" s="1">
        <v>1</v>
      </c>
      <c r="BD89" s="1">
        <v>1</v>
      </c>
      <c r="BE89" s="1">
        <v>1</v>
      </c>
      <c r="BF89" s="1">
        <v>1</v>
      </c>
      <c r="BG89" s="1">
        <v>1</v>
      </c>
      <c r="BH89" s="86" cm="1">
        <f t="array" ref="BH89">SUMPRODUCT(--((T_MEASURES[[#This Row],[Health or social care centers]:[Schools / Educational centers]] + $AZ$15:$BF$15)&gt;0))</f>
        <v>7</v>
      </c>
      <c r="BI89" s="1">
        <v>0</v>
      </c>
      <c r="BJ89" s="1">
        <v>0</v>
      </c>
      <c r="BK89" s="1">
        <v>3</v>
      </c>
      <c r="BL89" s="1">
        <v>2</v>
      </c>
      <c r="BM89" s="1">
        <v>3</v>
      </c>
      <c r="BN89" s="1">
        <v>2</v>
      </c>
      <c r="BO89" s="1">
        <v>3</v>
      </c>
      <c r="BP89" s="1">
        <v>3</v>
      </c>
      <c r="BQ89" s="96" cm="1">
        <f t="array" ref="BQ89">T_MEASURES[[#This Row],[Apply size]]*(SUMPRODUCT(T_MEASURES[[#This Row],[C1_Urban Cooling]:[C8_Time]],TRANSPOSE('2.WEIGHTS'!$L$12:$L$19))+(ROW(C89)-ROW($C$18)+1)*0.0000000001)*100</f>
        <v>200.00000072</v>
      </c>
      <c r="BR89" s="21"/>
      <c r="BS89" s="38"/>
    </row>
    <row r="90" spans="1:71" ht="33.6" x14ac:dyDescent="0.3">
      <c r="A90" s="21"/>
      <c r="B90" s="38"/>
      <c r="C90" s="21"/>
      <c r="D90" s="86">
        <f>IF(T_MEASURES[[#This Row],[Weight Criterion]]&lt;=0,"",_xlfn.RANK.EQ(T_MEASURES[[#This Row],[Weight Criterion]],T_MEASURES[Weight Criterion]))</f>
        <v>32</v>
      </c>
      <c r="E90" s="152" t="s">
        <v>273</v>
      </c>
      <c r="F90" s="150" t="s">
        <v>431</v>
      </c>
      <c r="G90" s="150" t="s">
        <v>42</v>
      </c>
      <c r="H90" s="150" t="s">
        <v>126</v>
      </c>
      <c r="I90" s="150" t="s">
        <v>274</v>
      </c>
      <c r="J90" s="150"/>
      <c r="K90" s="153">
        <v>1</v>
      </c>
      <c r="L90" s="18"/>
      <c r="M90" s="18"/>
      <c r="N90" s="154" t="str">
        <f t="shared" si="3"/>
        <v>€</v>
      </c>
      <c r="O90" s="155"/>
      <c r="P90" s="155">
        <v>1</v>
      </c>
      <c r="Q90" s="19">
        <v>1</v>
      </c>
      <c r="R90" s="155">
        <v>1</v>
      </c>
      <c r="S90" s="72" t="str">
        <f>IF(T_MEASURES[[#This Row],[No risk (0)]]=1,"■","")</f>
        <v/>
      </c>
      <c r="T90" s="73" t="str">
        <f>IF(T_MEASURES[[#This Row],[Low risk (1)]]=1,"■","")</f>
        <v>■</v>
      </c>
      <c r="U90" s="74" t="str">
        <f>IF(T_MEASURES[[#This Row],[Medium risk (2)]]=1,"■","")</f>
        <v>■</v>
      </c>
      <c r="V90" s="71" t="str">
        <f>IF(T_MEASURES[[#This Row],[High risk (3)]]=1,"■","")</f>
        <v>■</v>
      </c>
      <c r="W90" s="18" t="str">
        <f t="shared" si="4"/>
        <v>4. High (Red)</v>
      </c>
      <c r="X90" s="18">
        <f>COUNT(T_MEASURES[[#This Row],[Buildings and public facilities]:[Coordination]])</f>
        <v>1</v>
      </c>
      <c r="Y90" s="18"/>
      <c r="Z90" s="18" t="str">
        <f>IF(T_MEASURES[[#This Row],[Buildings and public facilities]]=1,"Yes","No")</f>
        <v>No</v>
      </c>
      <c r="AA90" s="18"/>
      <c r="AB90" s="18" t="str">
        <f>IF(T_MEASURES[[#This Row],[Urban planning]]=1,"Yes","No")</f>
        <v>No</v>
      </c>
      <c r="AC90" s="18"/>
      <c r="AD90" s="18" t="str">
        <f>IF(T_MEASURES[[#This Row],[Culture and Sports]],"Yes","No")</f>
        <v>No</v>
      </c>
      <c r="AE90" s="18"/>
      <c r="AF90" s="18" t="str">
        <f>IF(T_MEASURES[[#This Row],[Tourism]],"Yes","No")</f>
        <v>No</v>
      </c>
      <c r="AG90" s="18">
        <v>1</v>
      </c>
      <c r="AH90" s="18" t="str">
        <f>IF(T_MEASURES[[#This Row],[Occupational risks]],"Yes","No")</f>
        <v>Yes</v>
      </c>
      <c r="AI90" s="18"/>
      <c r="AJ90" s="18" t="str">
        <f>IF(T_MEASURES[[#This Row],[Education]],"Yes","No")</f>
        <v>No</v>
      </c>
      <c r="AK90" s="18"/>
      <c r="AL90" s="18" t="str">
        <f>IF(T_MEASURES[[#This Row],[Social Services]],"Yes","No")</f>
        <v>No</v>
      </c>
      <c r="AM90" s="18"/>
      <c r="AN90" s="18" t="str">
        <f>IF(T_MEASURES[[#This Row],[Emergency Services and Police]],"Yes","No")</f>
        <v>No</v>
      </c>
      <c r="AO90" s="18"/>
      <c r="AP90" s="18" t="str">
        <f>IF(T_MEASURES[[#This Row],[Parks and gardens (Urban Green Infrastructure)]],"Yes","No")</f>
        <v>No</v>
      </c>
      <c r="AQ90" s="18"/>
      <c r="AR90" s="18" t="str">
        <f>IF(T_MEASURES[[#This Row],[Transport]],"Yes","No")</f>
        <v>No</v>
      </c>
      <c r="AS90" s="158"/>
      <c r="AT90" s="1" t="str">
        <f>IF(T_MEASURES[[#This Row],[Coordination]],"Yes","No")</f>
        <v>No</v>
      </c>
      <c r="AU90" s="2">
        <v>1</v>
      </c>
      <c r="AV90" s="1">
        <v>1</v>
      </c>
      <c r="AW90" s="1">
        <v>1</v>
      </c>
      <c r="AX90" s="1">
        <v>1</v>
      </c>
      <c r="AY90" s="3">
        <v>1</v>
      </c>
      <c r="AZ90" s="86">
        <f>SUMPRODUCT($AT$15:$AX$15,T_MEASURES[[#This Row],[&lt;5.000]:[&gt;100.000]])</f>
        <v>1</v>
      </c>
      <c r="BA90" s="1">
        <v>1</v>
      </c>
      <c r="BB90" s="1">
        <v>1</v>
      </c>
      <c r="BC90" s="1">
        <v>1</v>
      </c>
      <c r="BD90" s="1">
        <v>1</v>
      </c>
      <c r="BE90" s="1">
        <v>1</v>
      </c>
      <c r="BF90" s="1">
        <v>1</v>
      </c>
      <c r="BG90" s="1">
        <v>1</v>
      </c>
      <c r="BH90" s="86" cm="1">
        <f t="array" ref="BH90">SUMPRODUCT(--((T_MEASURES[[#This Row],[Health or social care centers]:[Schools / Educational centers]] + $AZ$15:$BF$15)&gt;0))</f>
        <v>7</v>
      </c>
      <c r="BI90" s="88">
        <v>0</v>
      </c>
      <c r="BJ90" s="88">
        <v>0</v>
      </c>
      <c r="BK90" s="88">
        <v>3</v>
      </c>
      <c r="BL90" s="88">
        <v>2</v>
      </c>
      <c r="BM90" s="88">
        <v>3</v>
      </c>
      <c r="BN90" s="88">
        <v>2</v>
      </c>
      <c r="BO90" s="88">
        <v>3</v>
      </c>
      <c r="BP90" s="88">
        <v>3</v>
      </c>
      <c r="BQ90" s="96" cm="1">
        <f t="array" ref="BQ90">T_MEASURES[[#This Row],[Apply size]]*(SUMPRODUCT(T_MEASURES[[#This Row],[C1_Urban Cooling]:[C8_Time]],TRANSPOSE('2.WEIGHTS'!$L$12:$L$19))+(ROW(C90)-ROW($C$18)+1)*0.0000000001)*100</f>
        <v>200.00000073000001</v>
      </c>
      <c r="BR90" s="21"/>
      <c r="BS90" s="38"/>
    </row>
    <row r="91" spans="1:71" ht="33.6" x14ac:dyDescent="0.3">
      <c r="A91" s="21"/>
      <c r="B91" s="38"/>
      <c r="C91" s="21"/>
      <c r="D91" s="86">
        <f>IF(T_MEASURES[[#This Row],[Weight Criterion]]&lt;=0,"",_xlfn.RANK.EQ(T_MEASURES[[#This Row],[Weight Criterion]],T_MEASURES[Weight Criterion]))</f>
        <v>31</v>
      </c>
      <c r="E91" s="152" t="s">
        <v>275</v>
      </c>
      <c r="F91" s="150" t="s">
        <v>431</v>
      </c>
      <c r="G91" s="150" t="s">
        <v>42</v>
      </c>
      <c r="H91" s="150" t="s">
        <v>126</v>
      </c>
      <c r="I91" s="150" t="s">
        <v>276</v>
      </c>
      <c r="J91" s="150"/>
      <c r="K91" s="153">
        <v>1</v>
      </c>
      <c r="L91" s="18"/>
      <c r="M91" s="18"/>
      <c r="N91" s="154" t="str">
        <f t="shared" si="3"/>
        <v>€</v>
      </c>
      <c r="O91" s="155"/>
      <c r="P91" s="155">
        <v>1</v>
      </c>
      <c r="Q91" s="19">
        <v>1</v>
      </c>
      <c r="R91" s="155">
        <v>1</v>
      </c>
      <c r="S91" s="72" t="str">
        <f>IF(T_MEASURES[[#This Row],[No risk (0)]]=1,"■","")</f>
        <v/>
      </c>
      <c r="T91" s="73" t="str">
        <f>IF(T_MEASURES[[#This Row],[Low risk (1)]]=1,"■","")</f>
        <v>■</v>
      </c>
      <c r="U91" s="74" t="str">
        <f>IF(T_MEASURES[[#This Row],[Medium risk (2)]]=1,"■","")</f>
        <v>■</v>
      </c>
      <c r="V91" s="71" t="str">
        <f>IF(T_MEASURES[[#This Row],[High risk (3)]]=1,"■","")</f>
        <v>■</v>
      </c>
      <c r="W91" s="18" t="str">
        <f t="shared" si="4"/>
        <v>4. High (Red)</v>
      </c>
      <c r="X91" s="18">
        <f>COUNT(T_MEASURES[[#This Row],[Buildings and public facilities]:[Coordination]])</f>
        <v>1</v>
      </c>
      <c r="Y91" s="18"/>
      <c r="Z91" s="18" t="str">
        <f>IF(T_MEASURES[[#This Row],[Buildings and public facilities]]=1,"Yes","No")</f>
        <v>No</v>
      </c>
      <c r="AA91" s="18"/>
      <c r="AB91" s="18" t="str">
        <f>IF(T_MEASURES[[#This Row],[Urban planning]]=1,"Yes","No")</f>
        <v>No</v>
      </c>
      <c r="AC91" s="18"/>
      <c r="AD91" s="18" t="str">
        <f>IF(T_MEASURES[[#This Row],[Culture and Sports]],"Yes","No")</f>
        <v>No</v>
      </c>
      <c r="AE91" s="18"/>
      <c r="AF91" s="18" t="str">
        <f>IF(T_MEASURES[[#This Row],[Tourism]],"Yes","No")</f>
        <v>No</v>
      </c>
      <c r="AG91" s="18">
        <v>1</v>
      </c>
      <c r="AH91" s="18" t="str">
        <f>IF(T_MEASURES[[#This Row],[Occupational risks]],"Yes","No")</f>
        <v>Yes</v>
      </c>
      <c r="AI91" s="18"/>
      <c r="AJ91" s="18" t="str">
        <f>IF(T_MEASURES[[#This Row],[Education]],"Yes","No")</f>
        <v>No</v>
      </c>
      <c r="AK91" s="18"/>
      <c r="AL91" s="18" t="str">
        <f>IF(T_MEASURES[[#This Row],[Social Services]],"Yes","No")</f>
        <v>No</v>
      </c>
      <c r="AM91" s="18"/>
      <c r="AN91" s="18" t="str">
        <f>IF(T_MEASURES[[#This Row],[Emergency Services and Police]],"Yes","No")</f>
        <v>No</v>
      </c>
      <c r="AO91" s="18"/>
      <c r="AP91" s="18" t="str">
        <f>IF(T_MEASURES[[#This Row],[Parks and gardens (Urban Green Infrastructure)]],"Yes","No")</f>
        <v>No</v>
      </c>
      <c r="AQ91" s="18"/>
      <c r="AR91" s="18" t="str">
        <f>IF(T_MEASURES[[#This Row],[Transport]],"Yes","No")</f>
        <v>No</v>
      </c>
      <c r="AS91" s="158"/>
      <c r="AT91" s="1" t="str">
        <f>IF(T_MEASURES[[#This Row],[Coordination]],"Yes","No")</f>
        <v>No</v>
      </c>
      <c r="AU91" s="2">
        <v>1</v>
      </c>
      <c r="AV91" s="1">
        <v>1</v>
      </c>
      <c r="AW91" s="1">
        <v>1</v>
      </c>
      <c r="AX91" s="1">
        <v>1</v>
      </c>
      <c r="AY91" s="3">
        <v>1</v>
      </c>
      <c r="AZ91" s="86">
        <f>SUMPRODUCT($AT$15:$AX$15,T_MEASURES[[#This Row],[&lt;5.000]:[&gt;100.000]])</f>
        <v>1</v>
      </c>
      <c r="BA91" s="1">
        <v>1</v>
      </c>
      <c r="BB91" s="1">
        <v>1</v>
      </c>
      <c r="BC91" s="1">
        <v>1</v>
      </c>
      <c r="BD91" s="1">
        <v>1</v>
      </c>
      <c r="BE91" s="1">
        <v>1</v>
      </c>
      <c r="BF91" s="1">
        <v>1</v>
      </c>
      <c r="BG91" s="1">
        <v>1</v>
      </c>
      <c r="BH91" s="86" cm="1">
        <f t="array" ref="BH91">SUMPRODUCT(--((T_MEASURES[[#This Row],[Health or social care centers]:[Schools / Educational centers]] + $AZ$15:$BF$15)&gt;0))</f>
        <v>7</v>
      </c>
      <c r="BI91" s="1">
        <v>0</v>
      </c>
      <c r="BJ91" s="1">
        <v>0</v>
      </c>
      <c r="BK91" s="1">
        <v>3</v>
      </c>
      <c r="BL91" s="1">
        <v>2</v>
      </c>
      <c r="BM91" s="1">
        <v>3</v>
      </c>
      <c r="BN91" s="1">
        <v>2</v>
      </c>
      <c r="BO91" s="1">
        <v>3</v>
      </c>
      <c r="BP91" s="1">
        <v>3</v>
      </c>
      <c r="BQ91" s="96" cm="1">
        <f t="array" ref="BQ91">T_MEASURES[[#This Row],[Apply size]]*(SUMPRODUCT(T_MEASURES[[#This Row],[C1_Urban Cooling]:[C8_Time]],TRANSPOSE('2.WEIGHTS'!$L$12:$L$19))+(ROW(C91)-ROW($C$18)+1)*0.0000000001)*100</f>
        <v>200.00000074000002</v>
      </c>
      <c r="BR91" s="21"/>
      <c r="BS91" s="38"/>
    </row>
    <row r="92" spans="1:71" ht="33.6" x14ac:dyDescent="0.3">
      <c r="A92" s="21"/>
      <c r="B92" s="38"/>
      <c r="C92" s="21"/>
      <c r="D92" s="86">
        <f>IF(T_MEASURES[[#This Row],[Weight Criterion]]&lt;=0,"",_xlfn.RANK.EQ(T_MEASURES[[#This Row],[Weight Criterion]],T_MEASURES[Weight Criterion]))</f>
        <v>71</v>
      </c>
      <c r="E92" s="152" t="s">
        <v>277</v>
      </c>
      <c r="F92" s="150" t="s">
        <v>431</v>
      </c>
      <c r="G92" s="150" t="s">
        <v>42</v>
      </c>
      <c r="H92" s="150" t="s">
        <v>135</v>
      </c>
      <c r="I92" s="150" t="s">
        <v>278</v>
      </c>
      <c r="J92" s="150"/>
      <c r="K92" s="153">
        <v>1</v>
      </c>
      <c r="L92" s="18"/>
      <c r="M92" s="18"/>
      <c r="N92" s="154" t="str">
        <f t="shared" si="3"/>
        <v>€</v>
      </c>
      <c r="O92" s="155"/>
      <c r="P92" s="155">
        <v>1</v>
      </c>
      <c r="Q92" s="19">
        <v>1</v>
      </c>
      <c r="R92" s="155">
        <v>1</v>
      </c>
      <c r="S92" s="72" t="str">
        <f>IF(T_MEASURES[[#This Row],[No risk (0)]]=1,"■","")</f>
        <v/>
      </c>
      <c r="T92" s="73" t="str">
        <f>IF(T_MEASURES[[#This Row],[Low risk (1)]]=1,"■","")</f>
        <v>■</v>
      </c>
      <c r="U92" s="74" t="str">
        <f>IF(T_MEASURES[[#This Row],[Medium risk (2)]]=1,"■","")</f>
        <v>■</v>
      </c>
      <c r="V92" s="71" t="str">
        <f>IF(T_MEASURES[[#This Row],[High risk (3)]]=1,"■","")</f>
        <v>■</v>
      </c>
      <c r="W92" s="18" t="str">
        <f t="shared" si="4"/>
        <v>4. High (Red)</v>
      </c>
      <c r="X92" s="18">
        <f>COUNT(T_MEASURES[[#This Row],[Buildings and public facilities]:[Coordination]])</f>
        <v>1</v>
      </c>
      <c r="Y92" s="18"/>
      <c r="Z92" s="18" t="str">
        <f>IF(T_MEASURES[[#This Row],[Buildings and public facilities]]=1,"Yes","No")</f>
        <v>No</v>
      </c>
      <c r="AA92" s="18"/>
      <c r="AB92" s="18" t="str">
        <f>IF(T_MEASURES[[#This Row],[Urban planning]]=1,"Yes","No")</f>
        <v>No</v>
      </c>
      <c r="AC92" s="18"/>
      <c r="AD92" s="18" t="str">
        <f>IF(T_MEASURES[[#This Row],[Culture and Sports]],"Yes","No")</f>
        <v>No</v>
      </c>
      <c r="AE92" s="18"/>
      <c r="AF92" s="18" t="str">
        <f>IF(T_MEASURES[[#This Row],[Tourism]],"Yes","No")</f>
        <v>No</v>
      </c>
      <c r="AG92" s="18">
        <v>1</v>
      </c>
      <c r="AH92" s="18" t="str">
        <f>IF(T_MEASURES[[#This Row],[Occupational risks]],"Yes","No")</f>
        <v>Yes</v>
      </c>
      <c r="AI92" s="18"/>
      <c r="AJ92" s="18" t="str">
        <f>IF(T_MEASURES[[#This Row],[Education]],"Yes","No")</f>
        <v>No</v>
      </c>
      <c r="AK92" s="18"/>
      <c r="AL92" s="18" t="str">
        <f>IF(T_MEASURES[[#This Row],[Social Services]],"Yes","No")</f>
        <v>No</v>
      </c>
      <c r="AM92" s="18"/>
      <c r="AN92" s="18" t="str">
        <f>IF(T_MEASURES[[#This Row],[Emergency Services and Police]],"Yes","No")</f>
        <v>No</v>
      </c>
      <c r="AO92" s="18"/>
      <c r="AP92" s="18" t="str">
        <f>IF(T_MEASURES[[#This Row],[Parks and gardens (Urban Green Infrastructure)]],"Yes","No")</f>
        <v>No</v>
      </c>
      <c r="AQ92" s="18"/>
      <c r="AR92" s="18" t="str">
        <f>IF(T_MEASURES[[#This Row],[Transport]],"Yes","No")</f>
        <v>No</v>
      </c>
      <c r="AS92" s="158"/>
      <c r="AT92" s="1" t="str">
        <f>IF(T_MEASURES[[#This Row],[Coordination]],"Yes","No")</f>
        <v>No</v>
      </c>
      <c r="AU92" s="2">
        <v>1</v>
      </c>
      <c r="AV92" s="1">
        <v>1</v>
      </c>
      <c r="AW92" s="1">
        <v>1</v>
      </c>
      <c r="AX92" s="1">
        <v>1</v>
      </c>
      <c r="AY92" s="3">
        <v>1</v>
      </c>
      <c r="AZ92" s="86">
        <f>SUMPRODUCT($AT$15:$AX$15,T_MEASURES[[#This Row],[&lt;5.000]:[&gt;100.000]])</f>
        <v>1</v>
      </c>
      <c r="BA92" s="1">
        <v>1</v>
      </c>
      <c r="BB92" s="1">
        <v>1</v>
      </c>
      <c r="BC92" s="1">
        <v>1</v>
      </c>
      <c r="BD92" s="1">
        <v>1</v>
      </c>
      <c r="BE92" s="1">
        <v>1</v>
      </c>
      <c r="BF92" s="1">
        <v>1</v>
      </c>
      <c r="BG92" s="1">
        <v>1</v>
      </c>
      <c r="BH92" s="86" cm="1">
        <f t="array" ref="BH92">SUMPRODUCT(--((T_MEASURES[[#This Row],[Health or social care centers]:[Schools / Educational centers]] + $AZ$15:$BF$15)&gt;0))</f>
        <v>7</v>
      </c>
      <c r="BI92" s="88">
        <v>0</v>
      </c>
      <c r="BJ92" s="88">
        <v>0</v>
      </c>
      <c r="BK92" s="88">
        <v>3</v>
      </c>
      <c r="BL92" s="88">
        <v>2</v>
      </c>
      <c r="BM92" s="88">
        <v>2</v>
      </c>
      <c r="BN92" s="88">
        <v>2</v>
      </c>
      <c r="BO92" s="88">
        <v>3</v>
      </c>
      <c r="BP92" s="88">
        <v>3</v>
      </c>
      <c r="BQ92" s="96" cm="1">
        <f t="array" ref="BQ92">T_MEASURES[[#This Row],[Apply size]]*(SUMPRODUCT(T_MEASURES[[#This Row],[C1_Urban Cooling]:[C8_Time]],TRANSPOSE('2.WEIGHTS'!$L$12:$L$19))+(ROW(C92)-ROW($C$18)+1)*0.0000000001)*100</f>
        <v>187.50000075</v>
      </c>
      <c r="BR92" s="21"/>
      <c r="BS92" s="38"/>
    </row>
    <row r="93" spans="1:71" ht="33.6" x14ac:dyDescent="0.3">
      <c r="A93" s="21"/>
      <c r="B93" s="38"/>
      <c r="C93" s="21"/>
      <c r="D93" s="86">
        <f>IF(T_MEASURES[[#This Row],[Weight Criterion]]&lt;=0,"",_xlfn.RANK.EQ(T_MEASURES[[#This Row],[Weight Criterion]],T_MEASURES[Weight Criterion]))</f>
        <v>70</v>
      </c>
      <c r="E93" s="152" t="s">
        <v>279</v>
      </c>
      <c r="F93" s="150" t="s">
        <v>431</v>
      </c>
      <c r="G93" s="150" t="s">
        <v>41</v>
      </c>
      <c r="H93" s="150" t="s">
        <v>132</v>
      </c>
      <c r="I93" s="150" t="s">
        <v>280</v>
      </c>
      <c r="J93" s="150"/>
      <c r="K93" s="153">
        <v>1</v>
      </c>
      <c r="L93" s="18"/>
      <c r="M93" s="18"/>
      <c r="N93" s="154" t="str">
        <f t="shared" si="3"/>
        <v>€</v>
      </c>
      <c r="O93" s="155"/>
      <c r="P93" s="155">
        <v>1</v>
      </c>
      <c r="Q93" s="19">
        <v>1</v>
      </c>
      <c r="R93" s="155">
        <v>1</v>
      </c>
      <c r="S93" s="72" t="str">
        <f>IF(T_MEASURES[[#This Row],[No risk (0)]]=1,"■","")</f>
        <v/>
      </c>
      <c r="T93" s="73" t="str">
        <f>IF(T_MEASURES[[#This Row],[Low risk (1)]]=1,"■","")</f>
        <v>■</v>
      </c>
      <c r="U93" s="74" t="str">
        <f>IF(T_MEASURES[[#This Row],[Medium risk (2)]]=1,"■","")</f>
        <v>■</v>
      </c>
      <c r="V93" s="71" t="str">
        <f>IF(T_MEASURES[[#This Row],[High risk (3)]]=1,"■","")</f>
        <v>■</v>
      </c>
      <c r="W93" s="18" t="str">
        <f t="shared" si="4"/>
        <v>4. High (Red)</v>
      </c>
      <c r="X93" s="18">
        <f>COUNT(T_MEASURES[[#This Row],[Buildings and public facilities]:[Coordination]])</f>
        <v>1</v>
      </c>
      <c r="Y93" s="18"/>
      <c r="Z93" s="18" t="str">
        <f>IF(T_MEASURES[[#This Row],[Buildings and public facilities]]=1,"Yes","No")</f>
        <v>No</v>
      </c>
      <c r="AA93" s="18"/>
      <c r="AB93" s="18" t="str">
        <f>IF(T_MEASURES[[#This Row],[Urban planning]]=1,"Yes","No")</f>
        <v>No</v>
      </c>
      <c r="AC93" s="18"/>
      <c r="AD93" s="18" t="str">
        <f>IF(T_MEASURES[[#This Row],[Culture and Sports]],"Yes","No")</f>
        <v>No</v>
      </c>
      <c r="AE93" s="18"/>
      <c r="AF93" s="18" t="str">
        <f>IF(T_MEASURES[[#This Row],[Tourism]],"Yes","No")</f>
        <v>No</v>
      </c>
      <c r="AG93" s="18">
        <v>1</v>
      </c>
      <c r="AH93" s="18" t="str">
        <f>IF(T_MEASURES[[#This Row],[Occupational risks]],"Yes","No")</f>
        <v>Yes</v>
      </c>
      <c r="AI93" s="18"/>
      <c r="AJ93" s="18" t="str">
        <f>IF(T_MEASURES[[#This Row],[Education]],"Yes","No")</f>
        <v>No</v>
      </c>
      <c r="AK93" s="18"/>
      <c r="AL93" s="18" t="str">
        <f>IF(T_MEASURES[[#This Row],[Social Services]],"Yes","No")</f>
        <v>No</v>
      </c>
      <c r="AM93" s="18"/>
      <c r="AN93" s="18" t="str">
        <f>IF(T_MEASURES[[#This Row],[Emergency Services and Police]],"Yes","No")</f>
        <v>No</v>
      </c>
      <c r="AO93" s="18"/>
      <c r="AP93" s="18" t="str">
        <f>IF(T_MEASURES[[#This Row],[Parks and gardens (Urban Green Infrastructure)]],"Yes","No")</f>
        <v>No</v>
      </c>
      <c r="AQ93" s="18"/>
      <c r="AR93" s="18" t="str">
        <f>IF(T_MEASURES[[#This Row],[Transport]],"Yes","No")</f>
        <v>No</v>
      </c>
      <c r="AS93" s="158"/>
      <c r="AT93" s="1" t="str">
        <f>IF(T_MEASURES[[#This Row],[Coordination]],"Yes","No")</f>
        <v>No</v>
      </c>
      <c r="AU93" s="2">
        <v>1</v>
      </c>
      <c r="AV93" s="1">
        <v>1</v>
      </c>
      <c r="AW93" s="1">
        <v>1</v>
      </c>
      <c r="AX93" s="1">
        <v>1</v>
      </c>
      <c r="AY93" s="3">
        <v>1</v>
      </c>
      <c r="AZ93" s="86">
        <f>SUMPRODUCT($AT$15:$AX$15,T_MEASURES[[#This Row],[&lt;5.000]:[&gt;100.000]])</f>
        <v>1</v>
      </c>
      <c r="BA93" s="1">
        <v>1</v>
      </c>
      <c r="BB93" s="1">
        <v>1</v>
      </c>
      <c r="BC93" s="1">
        <v>1</v>
      </c>
      <c r="BD93" s="1">
        <v>1</v>
      </c>
      <c r="BE93" s="1">
        <v>1</v>
      </c>
      <c r="BF93" s="1">
        <v>1</v>
      </c>
      <c r="BG93" s="1">
        <v>1</v>
      </c>
      <c r="BH93" s="86" cm="1">
        <f t="array" ref="BH93">SUMPRODUCT(--((T_MEASURES[[#This Row],[Health or social care centers]:[Schools / Educational centers]] + $AZ$15:$BF$15)&gt;0))</f>
        <v>7</v>
      </c>
      <c r="BI93" s="1">
        <v>0</v>
      </c>
      <c r="BJ93" s="1">
        <v>0</v>
      </c>
      <c r="BK93" s="1">
        <v>3</v>
      </c>
      <c r="BL93" s="1">
        <v>2</v>
      </c>
      <c r="BM93" s="1">
        <v>2</v>
      </c>
      <c r="BN93" s="1">
        <v>2</v>
      </c>
      <c r="BO93" s="1">
        <v>3</v>
      </c>
      <c r="BP93" s="1">
        <v>3</v>
      </c>
      <c r="BQ93" s="96" cm="1">
        <f t="array" ref="BQ93">T_MEASURES[[#This Row],[Apply size]]*(SUMPRODUCT(T_MEASURES[[#This Row],[C1_Urban Cooling]:[C8_Time]],TRANSPOSE('2.WEIGHTS'!$L$12:$L$19))+(ROW(C93)-ROW($C$18)+1)*0.0000000001)*100</f>
        <v>187.50000076000001</v>
      </c>
      <c r="BR93" s="21"/>
      <c r="BS93" s="38"/>
    </row>
    <row r="94" spans="1:71" ht="33.6" x14ac:dyDescent="0.3">
      <c r="A94" s="21"/>
      <c r="B94" s="38"/>
      <c r="C94" s="21"/>
      <c r="D94" s="86">
        <f>IF(T_MEASURES[[#This Row],[Weight Criterion]]&lt;=0,"",_xlfn.RANK.EQ(T_MEASURES[[#This Row],[Weight Criterion]],T_MEASURES[Weight Criterion]))</f>
        <v>110</v>
      </c>
      <c r="E94" s="152" t="s">
        <v>281</v>
      </c>
      <c r="F94" s="150" t="s">
        <v>431</v>
      </c>
      <c r="G94" s="150" t="s">
        <v>41</v>
      </c>
      <c r="H94" s="150" t="s">
        <v>129</v>
      </c>
      <c r="I94" s="151" t="s">
        <v>282</v>
      </c>
      <c r="J94" s="151"/>
      <c r="K94" s="153"/>
      <c r="L94" s="18">
        <v>1</v>
      </c>
      <c r="M94" s="18"/>
      <c r="N94" s="154" t="str">
        <f t="shared" si="3"/>
        <v>€€</v>
      </c>
      <c r="O94" s="155"/>
      <c r="P94" s="155"/>
      <c r="Q94" s="19">
        <v>1</v>
      </c>
      <c r="R94" s="155">
        <v>1</v>
      </c>
      <c r="S94" s="72" t="str">
        <f>IF(T_MEASURES[[#This Row],[No risk (0)]]=1,"■","")</f>
        <v/>
      </c>
      <c r="T94" s="73" t="str">
        <f>IF(T_MEASURES[[#This Row],[Low risk (1)]]=1,"■","")</f>
        <v/>
      </c>
      <c r="U94" s="74" t="str">
        <f>IF(T_MEASURES[[#This Row],[Medium risk (2)]]=1,"■","")</f>
        <v>■</v>
      </c>
      <c r="V94" s="71" t="str">
        <f>IF(T_MEASURES[[#This Row],[High risk (3)]]=1,"■","")</f>
        <v>■</v>
      </c>
      <c r="W94" s="18" t="str">
        <f t="shared" si="4"/>
        <v>4. High (Red)</v>
      </c>
      <c r="X94" s="18">
        <f>COUNT(T_MEASURES[[#This Row],[Buildings and public facilities]:[Coordination]])</f>
        <v>1</v>
      </c>
      <c r="Y94" s="18">
        <v>1</v>
      </c>
      <c r="Z94" s="18" t="str">
        <f>IF(T_MEASURES[[#This Row],[Buildings and public facilities]]=1,"Yes","No")</f>
        <v>Yes</v>
      </c>
      <c r="AA94" s="18"/>
      <c r="AB94" s="18" t="str">
        <f>IF(T_MEASURES[[#This Row],[Urban planning]]=1,"Yes","No")</f>
        <v>No</v>
      </c>
      <c r="AC94" s="18"/>
      <c r="AD94" s="18" t="str">
        <f>IF(T_MEASURES[[#This Row],[Culture and Sports]],"Yes","No")</f>
        <v>No</v>
      </c>
      <c r="AE94" s="18"/>
      <c r="AF94" s="18" t="str">
        <f>IF(T_MEASURES[[#This Row],[Tourism]],"Yes","No")</f>
        <v>No</v>
      </c>
      <c r="AG94" s="18"/>
      <c r="AH94" s="18" t="str">
        <f>IF(T_MEASURES[[#This Row],[Occupational risks]],"Yes","No")</f>
        <v>No</v>
      </c>
      <c r="AI94" s="18"/>
      <c r="AJ94" s="18" t="str">
        <f>IF(T_MEASURES[[#This Row],[Education]],"Yes","No")</f>
        <v>No</v>
      </c>
      <c r="AK94" s="18"/>
      <c r="AL94" s="18" t="str">
        <f>IF(T_MEASURES[[#This Row],[Social Services]],"Yes","No")</f>
        <v>No</v>
      </c>
      <c r="AM94" s="18"/>
      <c r="AN94" s="18" t="str">
        <f>IF(T_MEASURES[[#This Row],[Emergency Services and Police]],"Yes","No")</f>
        <v>No</v>
      </c>
      <c r="AO94" s="18"/>
      <c r="AP94" s="18" t="str">
        <f>IF(T_MEASURES[[#This Row],[Parks and gardens (Urban Green Infrastructure)]],"Yes","No")</f>
        <v>No</v>
      </c>
      <c r="AQ94" s="18"/>
      <c r="AR94" s="18" t="str">
        <f>IF(T_MEASURES[[#This Row],[Transport]],"Yes","No")</f>
        <v>No</v>
      </c>
      <c r="AS94" s="158"/>
      <c r="AT94" s="1" t="str">
        <f>IF(T_MEASURES[[#This Row],[Coordination]],"Yes","No")</f>
        <v>No</v>
      </c>
      <c r="AU94" s="2">
        <v>1</v>
      </c>
      <c r="AV94" s="1">
        <v>1</v>
      </c>
      <c r="AW94" s="1">
        <v>1</v>
      </c>
      <c r="AX94" s="1">
        <v>1</v>
      </c>
      <c r="AY94" s="3">
        <v>1</v>
      </c>
      <c r="AZ94" s="86">
        <f>SUMPRODUCT($AT$15:$AX$15,T_MEASURES[[#This Row],[&lt;5.000]:[&gt;100.000]])</f>
        <v>1</v>
      </c>
      <c r="BA94" s="1">
        <v>1</v>
      </c>
      <c r="BB94" s="1">
        <v>1</v>
      </c>
      <c r="BC94" s="1">
        <v>1</v>
      </c>
      <c r="BD94" s="1">
        <v>1</v>
      </c>
      <c r="BE94" s="1">
        <v>1</v>
      </c>
      <c r="BF94" s="1">
        <v>1</v>
      </c>
      <c r="BG94" s="1">
        <v>1</v>
      </c>
      <c r="BH94" s="86" cm="1">
        <f t="array" ref="BH94">SUMPRODUCT(--((T_MEASURES[[#This Row],[Health or social care centers]:[Schools / Educational centers]] + $AZ$15:$BF$15)&gt;0))</f>
        <v>7</v>
      </c>
      <c r="BI94" s="88">
        <v>0</v>
      </c>
      <c r="BJ94" s="88">
        <v>0</v>
      </c>
      <c r="BK94" s="88">
        <v>2</v>
      </c>
      <c r="BL94" s="88">
        <v>3</v>
      </c>
      <c r="BM94" s="88">
        <v>2</v>
      </c>
      <c r="BN94" s="88">
        <v>2</v>
      </c>
      <c r="BO94" s="88">
        <v>2</v>
      </c>
      <c r="BP94" s="88">
        <v>2</v>
      </c>
      <c r="BQ94" s="96" cm="1">
        <f t="array" ref="BQ94">T_MEASURES[[#This Row],[Apply size]]*(SUMPRODUCT(T_MEASURES[[#This Row],[C1_Urban Cooling]:[C8_Time]],TRANSPOSE('2.WEIGHTS'!$L$12:$L$19))+(ROW(C94)-ROW($C$18)+1)*0.0000000001)*100</f>
        <v>162.50000076999999</v>
      </c>
      <c r="BR94" s="21"/>
      <c r="BS94" s="38"/>
    </row>
    <row r="95" spans="1:71" ht="33.6" x14ac:dyDescent="0.3">
      <c r="A95" s="21"/>
      <c r="B95" s="38"/>
      <c r="C95" s="21"/>
      <c r="D95" s="86">
        <f>IF(T_MEASURES[[#This Row],[Weight Criterion]]&lt;=0,"",_xlfn.RANK.EQ(T_MEASURES[[#This Row],[Weight Criterion]],T_MEASURES[Weight Criterion]))</f>
        <v>30</v>
      </c>
      <c r="E95" s="152" t="s">
        <v>283</v>
      </c>
      <c r="F95" s="150" t="s">
        <v>431</v>
      </c>
      <c r="G95" s="150" t="s">
        <v>42</v>
      </c>
      <c r="H95" s="150" t="s">
        <v>135</v>
      </c>
      <c r="I95" s="150" t="s">
        <v>418</v>
      </c>
      <c r="J95" s="150"/>
      <c r="K95" s="153">
        <v>1</v>
      </c>
      <c r="L95" s="18"/>
      <c r="M95" s="18"/>
      <c r="N95" s="154" t="str">
        <f t="shared" si="3"/>
        <v>€</v>
      </c>
      <c r="O95" s="155"/>
      <c r="P95" s="155"/>
      <c r="Q95" s="19">
        <v>1</v>
      </c>
      <c r="R95" s="155">
        <v>1</v>
      </c>
      <c r="S95" s="72" t="str">
        <f>IF(T_MEASURES[[#This Row],[No risk (0)]]=1,"■","")</f>
        <v/>
      </c>
      <c r="T95" s="73" t="str">
        <f>IF(T_MEASURES[[#This Row],[Low risk (1)]]=1,"■","")</f>
        <v/>
      </c>
      <c r="U95" s="74" t="str">
        <f>IF(T_MEASURES[[#This Row],[Medium risk (2)]]=1,"■","")</f>
        <v>■</v>
      </c>
      <c r="V95" s="71" t="str">
        <f>IF(T_MEASURES[[#This Row],[High risk (3)]]=1,"■","")</f>
        <v>■</v>
      </c>
      <c r="W95" s="18" t="str">
        <f t="shared" si="4"/>
        <v>4. High (Red)</v>
      </c>
      <c r="X95" s="18">
        <f>COUNT(T_MEASURES[[#This Row],[Buildings and public facilities]:[Coordination]])</f>
        <v>1</v>
      </c>
      <c r="Y95" s="18"/>
      <c r="Z95" s="18" t="str">
        <f>IF(T_MEASURES[[#This Row],[Buildings and public facilities]]=1,"Yes","No")</f>
        <v>No</v>
      </c>
      <c r="AA95" s="18"/>
      <c r="AB95" s="18" t="str">
        <f>IF(T_MEASURES[[#This Row],[Urban planning]]=1,"Yes","No")</f>
        <v>No</v>
      </c>
      <c r="AC95" s="18"/>
      <c r="AD95" s="18" t="str">
        <f>IF(T_MEASURES[[#This Row],[Culture and Sports]],"Yes","No")</f>
        <v>No</v>
      </c>
      <c r="AE95" s="18"/>
      <c r="AF95" s="18" t="str">
        <f>IF(T_MEASURES[[#This Row],[Tourism]],"Yes","No")</f>
        <v>No</v>
      </c>
      <c r="AG95" s="18">
        <v>1</v>
      </c>
      <c r="AH95" s="18" t="str">
        <f>IF(T_MEASURES[[#This Row],[Occupational risks]],"Yes","No")</f>
        <v>Yes</v>
      </c>
      <c r="AI95" s="18"/>
      <c r="AJ95" s="18" t="str">
        <f>IF(T_MEASURES[[#This Row],[Education]],"Yes","No")</f>
        <v>No</v>
      </c>
      <c r="AK95" s="18"/>
      <c r="AL95" s="18" t="str">
        <f>IF(T_MEASURES[[#This Row],[Social Services]],"Yes","No")</f>
        <v>No</v>
      </c>
      <c r="AM95" s="18"/>
      <c r="AN95" s="18" t="str">
        <f>IF(T_MEASURES[[#This Row],[Emergency Services and Police]],"Yes","No")</f>
        <v>No</v>
      </c>
      <c r="AO95" s="18"/>
      <c r="AP95" s="18" t="str">
        <f>IF(T_MEASURES[[#This Row],[Parks and gardens (Urban Green Infrastructure)]],"Yes","No")</f>
        <v>No</v>
      </c>
      <c r="AQ95" s="18"/>
      <c r="AR95" s="18" t="str">
        <f>IF(T_MEASURES[[#This Row],[Transport]],"Yes","No")</f>
        <v>No</v>
      </c>
      <c r="AS95" s="158"/>
      <c r="AT95" s="1" t="str">
        <f>IF(T_MEASURES[[#This Row],[Coordination]],"Yes","No")</f>
        <v>No</v>
      </c>
      <c r="AU95" s="2">
        <v>1</v>
      </c>
      <c r="AV95" s="1">
        <v>1</v>
      </c>
      <c r="AW95" s="1">
        <v>1</v>
      </c>
      <c r="AX95" s="1">
        <v>1</v>
      </c>
      <c r="AY95" s="3">
        <v>1</v>
      </c>
      <c r="AZ95" s="86">
        <f>SUMPRODUCT($AT$15:$AX$15,T_MEASURES[[#This Row],[&lt;5.000]:[&gt;100.000]])</f>
        <v>1</v>
      </c>
      <c r="BA95" s="1">
        <v>1</v>
      </c>
      <c r="BB95" s="1">
        <v>1</v>
      </c>
      <c r="BC95" s="1">
        <v>1</v>
      </c>
      <c r="BD95" s="1">
        <v>1</v>
      </c>
      <c r="BE95" s="1">
        <v>1</v>
      </c>
      <c r="BF95" s="1">
        <v>1</v>
      </c>
      <c r="BG95" s="1">
        <v>1</v>
      </c>
      <c r="BH95" s="86" cm="1">
        <f t="array" ref="BH95">SUMPRODUCT(--((T_MEASURES[[#This Row],[Health or social care centers]:[Schools / Educational centers]] + $AZ$15:$BF$15)&gt;0))</f>
        <v>7</v>
      </c>
      <c r="BI95" s="1">
        <v>0</v>
      </c>
      <c r="BJ95" s="1">
        <v>0</v>
      </c>
      <c r="BK95" s="1">
        <v>3</v>
      </c>
      <c r="BL95" s="1">
        <v>2</v>
      </c>
      <c r="BM95" s="1">
        <v>3</v>
      </c>
      <c r="BN95" s="1">
        <v>2</v>
      </c>
      <c r="BO95" s="1">
        <v>3</v>
      </c>
      <c r="BP95" s="1">
        <v>3</v>
      </c>
      <c r="BQ95" s="96" cm="1">
        <f t="array" ref="BQ95">T_MEASURES[[#This Row],[Apply size]]*(SUMPRODUCT(T_MEASURES[[#This Row],[C1_Urban Cooling]:[C8_Time]],TRANSPOSE('2.WEIGHTS'!$L$12:$L$19))+(ROW(C95)-ROW($C$18)+1)*0.0000000001)*100</f>
        <v>200.00000078000002</v>
      </c>
      <c r="BR95" s="21"/>
      <c r="BS95" s="38"/>
    </row>
    <row r="96" spans="1:71" ht="33.6" x14ac:dyDescent="0.3">
      <c r="A96" s="21"/>
      <c r="B96" s="38"/>
      <c r="C96" s="21"/>
      <c r="D96" s="86">
        <f>IF(T_MEASURES[[#This Row],[Weight Criterion]]&lt;=0,"",_xlfn.RANK.EQ(T_MEASURES[[#This Row],[Weight Criterion]],T_MEASURES[Weight Criterion]))</f>
        <v>69</v>
      </c>
      <c r="E96" s="152" t="s">
        <v>284</v>
      </c>
      <c r="F96" s="150" t="s">
        <v>431</v>
      </c>
      <c r="G96" s="150" t="s">
        <v>44</v>
      </c>
      <c r="H96" s="150" t="s">
        <v>145</v>
      </c>
      <c r="I96" s="150" t="s">
        <v>285</v>
      </c>
      <c r="J96" s="150"/>
      <c r="K96" s="153">
        <v>1</v>
      </c>
      <c r="L96" s="18"/>
      <c r="M96" s="18"/>
      <c r="N96" s="154" t="str">
        <f t="shared" si="3"/>
        <v>€</v>
      </c>
      <c r="O96" s="155"/>
      <c r="P96" s="155">
        <v>1</v>
      </c>
      <c r="Q96" s="19">
        <v>1</v>
      </c>
      <c r="R96" s="155">
        <v>1</v>
      </c>
      <c r="S96" s="72" t="str">
        <f>IF(T_MEASURES[[#This Row],[No risk (0)]]=1,"■","")</f>
        <v/>
      </c>
      <c r="T96" s="73" t="str">
        <f>IF(T_MEASURES[[#This Row],[Low risk (1)]]=1,"■","")</f>
        <v>■</v>
      </c>
      <c r="U96" s="74" t="str">
        <f>IF(T_MEASURES[[#This Row],[Medium risk (2)]]=1,"■","")</f>
        <v>■</v>
      </c>
      <c r="V96" s="71" t="str">
        <f>IF(T_MEASURES[[#This Row],[High risk (3)]]=1,"■","")</f>
        <v>■</v>
      </c>
      <c r="W96" s="18" t="str">
        <f t="shared" si="4"/>
        <v>4. High (Red)</v>
      </c>
      <c r="X96" s="18">
        <f>COUNT(T_MEASURES[[#This Row],[Buildings and public facilities]:[Coordination]])</f>
        <v>1</v>
      </c>
      <c r="Y96" s="18"/>
      <c r="Z96" s="18" t="str">
        <f>IF(T_MEASURES[[#This Row],[Buildings and public facilities]]=1,"Yes","No")</f>
        <v>No</v>
      </c>
      <c r="AA96" s="18"/>
      <c r="AB96" s="18" t="str">
        <f>IF(T_MEASURES[[#This Row],[Urban planning]]=1,"Yes","No")</f>
        <v>No</v>
      </c>
      <c r="AC96" s="18">
        <v>1</v>
      </c>
      <c r="AD96" s="18" t="str">
        <f>IF(T_MEASURES[[#This Row],[Culture and Sports]],"Yes","No")</f>
        <v>Yes</v>
      </c>
      <c r="AE96" s="18"/>
      <c r="AF96" s="18" t="str">
        <f>IF(T_MEASURES[[#This Row],[Tourism]],"Yes","No")</f>
        <v>No</v>
      </c>
      <c r="AG96" s="18"/>
      <c r="AH96" s="18" t="str">
        <f>IF(T_MEASURES[[#This Row],[Occupational risks]],"Yes","No")</f>
        <v>No</v>
      </c>
      <c r="AI96" s="18"/>
      <c r="AJ96" s="18" t="str">
        <f>IF(T_MEASURES[[#This Row],[Education]],"Yes","No")</f>
        <v>No</v>
      </c>
      <c r="AK96" s="18"/>
      <c r="AL96" s="18" t="str">
        <f>IF(T_MEASURES[[#This Row],[Social Services]],"Yes","No")</f>
        <v>No</v>
      </c>
      <c r="AM96" s="18"/>
      <c r="AN96" s="18" t="str">
        <f>IF(T_MEASURES[[#This Row],[Emergency Services and Police]],"Yes","No")</f>
        <v>No</v>
      </c>
      <c r="AO96" s="18"/>
      <c r="AP96" s="18" t="str">
        <f>IF(T_MEASURES[[#This Row],[Parks and gardens (Urban Green Infrastructure)]],"Yes","No")</f>
        <v>No</v>
      </c>
      <c r="AQ96" s="18"/>
      <c r="AR96" s="18" t="str">
        <f>IF(T_MEASURES[[#This Row],[Transport]],"Yes","No")</f>
        <v>No</v>
      </c>
      <c r="AS96" s="158"/>
      <c r="AT96" s="1" t="str">
        <f>IF(T_MEASURES[[#This Row],[Coordination]],"Yes","No")</f>
        <v>No</v>
      </c>
      <c r="AU96" s="2">
        <v>1</v>
      </c>
      <c r="AV96" s="1">
        <v>1</v>
      </c>
      <c r="AW96" s="1">
        <v>1</v>
      </c>
      <c r="AX96" s="1">
        <v>1</v>
      </c>
      <c r="AY96" s="3">
        <v>1</v>
      </c>
      <c r="AZ96" s="86">
        <f>SUMPRODUCT($AT$15:$AX$15,T_MEASURES[[#This Row],[&lt;5.000]:[&gt;100.000]])</f>
        <v>1</v>
      </c>
      <c r="BA96" s="1">
        <v>1</v>
      </c>
      <c r="BB96" s="1">
        <v>1</v>
      </c>
      <c r="BC96" s="1">
        <v>1</v>
      </c>
      <c r="BD96" s="1">
        <v>1</v>
      </c>
      <c r="BE96" s="1">
        <v>1</v>
      </c>
      <c r="BF96" s="1">
        <v>1</v>
      </c>
      <c r="BG96" s="1">
        <v>1</v>
      </c>
      <c r="BH96" s="86" cm="1">
        <f t="array" ref="BH96">SUMPRODUCT(--((T_MEASURES[[#This Row],[Health or social care centers]:[Schools / Educational centers]] + $AZ$15:$BF$15)&gt;0))</f>
        <v>7</v>
      </c>
      <c r="BI96" s="88">
        <v>0</v>
      </c>
      <c r="BJ96" s="88">
        <v>0</v>
      </c>
      <c r="BK96" s="88">
        <v>2</v>
      </c>
      <c r="BL96" s="88">
        <v>2</v>
      </c>
      <c r="BM96" s="88">
        <v>3</v>
      </c>
      <c r="BN96" s="88">
        <v>2</v>
      </c>
      <c r="BO96" s="88">
        <v>3</v>
      </c>
      <c r="BP96" s="88">
        <v>3</v>
      </c>
      <c r="BQ96" s="96" cm="1">
        <f t="array" ref="BQ96">T_MEASURES[[#This Row],[Apply size]]*(SUMPRODUCT(T_MEASURES[[#This Row],[C1_Urban Cooling]:[C8_Time]],TRANSPOSE('2.WEIGHTS'!$L$12:$L$19))+(ROW(C96)-ROW($C$18)+1)*0.0000000001)*100</f>
        <v>187.50000079</v>
      </c>
      <c r="BR96" s="21"/>
      <c r="BS96" s="38"/>
    </row>
    <row r="97" spans="1:71" ht="33.6" x14ac:dyDescent="0.3">
      <c r="A97" s="21"/>
      <c r="B97" s="38"/>
      <c r="C97" s="21"/>
      <c r="D97" s="86">
        <f>IF(T_MEASURES[[#This Row],[Weight Criterion]]&lt;=0,"",_xlfn.RANK.EQ(T_MEASURES[[#This Row],[Weight Criterion]],T_MEASURES[Weight Criterion]))</f>
        <v>68</v>
      </c>
      <c r="E97" s="152" t="s">
        <v>286</v>
      </c>
      <c r="F97" s="150" t="s">
        <v>431</v>
      </c>
      <c r="G97" s="150" t="s">
        <v>44</v>
      </c>
      <c r="H97" s="150" t="s">
        <v>245</v>
      </c>
      <c r="I97" s="150" t="s">
        <v>287</v>
      </c>
      <c r="J97" s="150"/>
      <c r="K97" s="153">
        <v>1</v>
      </c>
      <c r="L97" s="18"/>
      <c r="M97" s="18"/>
      <c r="N97" s="154" t="str">
        <f t="shared" si="3"/>
        <v>€</v>
      </c>
      <c r="O97" s="155"/>
      <c r="P97" s="155"/>
      <c r="Q97" s="19"/>
      <c r="R97" s="155">
        <v>1</v>
      </c>
      <c r="S97" s="72" t="str">
        <f>IF(T_MEASURES[[#This Row],[No risk (0)]]=1,"■","")</f>
        <v/>
      </c>
      <c r="T97" s="73" t="str">
        <f>IF(T_MEASURES[[#This Row],[Low risk (1)]]=1,"■","")</f>
        <v/>
      </c>
      <c r="U97" s="74" t="str">
        <f>IF(T_MEASURES[[#This Row],[Medium risk (2)]]=1,"■","")</f>
        <v/>
      </c>
      <c r="V97" s="71" t="str">
        <f>IF(T_MEASURES[[#This Row],[High risk (3)]]=1,"■","")</f>
        <v>■</v>
      </c>
      <c r="W97" s="18" t="str">
        <f t="shared" si="4"/>
        <v>4. High (Red)</v>
      </c>
      <c r="X97" s="18">
        <f>COUNT(T_MEASURES[[#This Row],[Buildings and public facilities]:[Coordination]])</f>
        <v>2</v>
      </c>
      <c r="Y97" s="18"/>
      <c r="Z97" s="18" t="str">
        <f>IF(T_MEASURES[[#This Row],[Buildings and public facilities]]=1,"Yes","No")</f>
        <v>No</v>
      </c>
      <c r="AA97" s="18"/>
      <c r="AB97" s="18" t="str">
        <f>IF(T_MEASURES[[#This Row],[Urban planning]]=1,"Yes","No")</f>
        <v>No</v>
      </c>
      <c r="AC97" s="18">
        <v>1</v>
      </c>
      <c r="AD97" s="18" t="str">
        <f>IF(T_MEASURES[[#This Row],[Culture and Sports]],"Yes","No")</f>
        <v>Yes</v>
      </c>
      <c r="AE97" s="18">
        <v>1</v>
      </c>
      <c r="AF97" s="18" t="str">
        <f>IF(T_MEASURES[[#This Row],[Tourism]],"Yes","No")</f>
        <v>Yes</v>
      </c>
      <c r="AG97" s="18"/>
      <c r="AH97" s="18" t="str">
        <f>IF(T_MEASURES[[#This Row],[Occupational risks]],"Yes","No")</f>
        <v>No</v>
      </c>
      <c r="AI97" s="18"/>
      <c r="AJ97" s="18" t="str">
        <f>IF(T_MEASURES[[#This Row],[Education]],"Yes","No")</f>
        <v>No</v>
      </c>
      <c r="AK97" s="18"/>
      <c r="AL97" s="18" t="str">
        <f>IF(T_MEASURES[[#This Row],[Social Services]],"Yes","No")</f>
        <v>No</v>
      </c>
      <c r="AM97" s="18"/>
      <c r="AN97" s="18" t="str">
        <f>IF(T_MEASURES[[#This Row],[Emergency Services and Police]],"Yes","No")</f>
        <v>No</v>
      </c>
      <c r="AO97" s="18"/>
      <c r="AP97" s="18" t="str">
        <f>IF(T_MEASURES[[#This Row],[Parks and gardens (Urban Green Infrastructure)]],"Yes","No")</f>
        <v>No</v>
      </c>
      <c r="AQ97" s="18"/>
      <c r="AR97" s="18" t="str">
        <f>IF(T_MEASURES[[#This Row],[Transport]],"Yes","No")</f>
        <v>No</v>
      </c>
      <c r="AS97" s="158"/>
      <c r="AT97" s="1" t="str">
        <f>IF(T_MEASURES[[#This Row],[Coordination]],"Yes","No")</f>
        <v>No</v>
      </c>
      <c r="AU97" s="2">
        <v>1</v>
      </c>
      <c r="AV97" s="1">
        <v>1</v>
      </c>
      <c r="AW97" s="1">
        <v>1</v>
      </c>
      <c r="AX97" s="1">
        <v>1</v>
      </c>
      <c r="AY97" s="3">
        <v>1</v>
      </c>
      <c r="AZ97" s="86">
        <f>SUMPRODUCT($AT$15:$AX$15,T_MEASURES[[#This Row],[&lt;5.000]:[&gt;100.000]])</f>
        <v>1</v>
      </c>
      <c r="BA97" s="1">
        <v>1</v>
      </c>
      <c r="BB97" s="1">
        <v>1</v>
      </c>
      <c r="BC97" s="1">
        <v>1</v>
      </c>
      <c r="BD97" s="1">
        <v>1</v>
      </c>
      <c r="BE97" s="1">
        <v>1</v>
      </c>
      <c r="BF97" s="1">
        <v>1</v>
      </c>
      <c r="BG97" s="1">
        <v>1</v>
      </c>
      <c r="BH97" s="86" cm="1">
        <f t="array" ref="BH97">SUMPRODUCT(--((T_MEASURES[[#This Row],[Health or social care centers]:[Schools / Educational centers]] + $AZ$15:$BF$15)&gt;0))</f>
        <v>7</v>
      </c>
      <c r="BI97" s="1">
        <v>0</v>
      </c>
      <c r="BJ97" s="1">
        <v>0</v>
      </c>
      <c r="BK97" s="1">
        <v>2</v>
      </c>
      <c r="BL97" s="1">
        <v>2</v>
      </c>
      <c r="BM97" s="1">
        <v>3</v>
      </c>
      <c r="BN97" s="1">
        <v>2</v>
      </c>
      <c r="BO97" s="1">
        <v>3</v>
      </c>
      <c r="BP97" s="1">
        <v>3</v>
      </c>
      <c r="BQ97" s="96" cm="1">
        <f t="array" ref="BQ97">T_MEASURES[[#This Row],[Apply size]]*(SUMPRODUCT(T_MEASURES[[#This Row],[C1_Urban Cooling]:[C8_Time]],TRANSPOSE('2.WEIGHTS'!$L$12:$L$19))+(ROW(C97)-ROW($C$18)+1)*0.0000000001)*100</f>
        <v>187.50000080000001</v>
      </c>
      <c r="BR97" s="21"/>
      <c r="BS97" s="38"/>
    </row>
    <row r="98" spans="1:71" ht="33.6" x14ac:dyDescent="0.3">
      <c r="A98" s="21"/>
      <c r="B98" s="38"/>
      <c r="C98" s="21"/>
      <c r="D98" s="86">
        <f>IF(T_MEASURES[[#This Row],[Weight Criterion]]&lt;=0,"",_xlfn.RANK.EQ(T_MEASURES[[#This Row],[Weight Criterion]],T_MEASURES[Weight Criterion]))</f>
        <v>29</v>
      </c>
      <c r="E98" s="152" t="s">
        <v>288</v>
      </c>
      <c r="F98" s="150" t="s">
        <v>431</v>
      </c>
      <c r="G98" s="150" t="s">
        <v>42</v>
      </c>
      <c r="H98" s="150" t="s">
        <v>135</v>
      </c>
      <c r="I98" s="150" t="s">
        <v>289</v>
      </c>
      <c r="J98" s="150"/>
      <c r="K98" s="153">
        <v>1</v>
      </c>
      <c r="L98" s="18"/>
      <c r="M98" s="18"/>
      <c r="N98" s="154" t="str">
        <f t="shared" si="3"/>
        <v>€</v>
      </c>
      <c r="O98" s="155"/>
      <c r="P98" s="155"/>
      <c r="Q98" s="19">
        <v>1</v>
      </c>
      <c r="R98" s="155">
        <v>1</v>
      </c>
      <c r="S98" s="72" t="str">
        <f>IF(T_MEASURES[[#This Row],[No risk (0)]]=1,"■","")</f>
        <v/>
      </c>
      <c r="T98" s="73" t="str">
        <f>IF(T_MEASURES[[#This Row],[Low risk (1)]]=1,"■","")</f>
        <v/>
      </c>
      <c r="U98" s="74" t="str">
        <f>IF(T_MEASURES[[#This Row],[Medium risk (2)]]=1,"■","")</f>
        <v>■</v>
      </c>
      <c r="V98" s="71" t="str">
        <f>IF(T_MEASURES[[#This Row],[High risk (3)]]=1,"■","")</f>
        <v>■</v>
      </c>
      <c r="W98" s="18" t="str">
        <f t="shared" si="4"/>
        <v>4. High (Red)</v>
      </c>
      <c r="X98" s="18">
        <f>COUNT(T_MEASURES[[#This Row],[Buildings and public facilities]:[Coordination]])</f>
        <v>1</v>
      </c>
      <c r="Y98" s="18"/>
      <c r="Z98" s="18" t="str">
        <f>IF(T_MEASURES[[#This Row],[Buildings and public facilities]]=1,"Yes","No")</f>
        <v>No</v>
      </c>
      <c r="AA98" s="18"/>
      <c r="AB98" s="18" t="str">
        <f>IF(T_MEASURES[[#This Row],[Urban planning]]=1,"Yes","No")</f>
        <v>No</v>
      </c>
      <c r="AC98" s="18"/>
      <c r="AD98" s="18" t="str">
        <f>IF(T_MEASURES[[#This Row],[Culture and Sports]],"Yes","No")</f>
        <v>No</v>
      </c>
      <c r="AE98" s="18"/>
      <c r="AF98" s="18" t="str">
        <f>IF(T_MEASURES[[#This Row],[Tourism]],"Yes","No")</f>
        <v>No</v>
      </c>
      <c r="AG98" s="18"/>
      <c r="AH98" s="18" t="str">
        <f>IF(T_MEASURES[[#This Row],[Occupational risks]],"Yes","No")</f>
        <v>No</v>
      </c>
      <c r="AI98" s="18">
        <v>1</v>
      </c>
      <c r="AJ98" s="18" t="str">
        <f>IF(T_MEASURES[[#This Row],[Education]],"Yes","No")</f>
        <v>Yes</v>
      </c>
      <c r="AK98" s="18"/>
      <c r="AL98" s="18" t="str">
        <f>IF(T_MEASURES[[#This Row],[Social Services]],"Yes","No")</f>
        <v>No</v>
      </c>
      <c r="AM98" s="18"/>
      <c r="AN98" s="18" t="str">
        <f>IF(T_MEASURES[[#This Row],[Emergency Services and Police]],"Yes","No")</f>
        <v>No</v>
      </c>
      <c r="AO98" s="18"/>
      <c r="AP98" s="18" t="str">
        <f>IF(T_MEASURES[[#This Row],[Parks and gardens (Urban Green Infrastructure)]],"Yes","No")</f>
        <v>No</v>
      </c>
      <c r="AQ98" s="18"/>
      <c r="AR98" s="18" t="str">
        <f>IF(T_MEASURES[[#This Row],[Transport]],"Yes","No")</f>
        <v>No</v>
      </c>
      <c r="AS98" s="158"/>
      <c r="AT98" s="1" t="str">
        <f>IF(T_MEASURES[[#This Row],[Coordination]],"Yes","No")</f>
        <v>No</v>
      </c>
      <c r="AU98" s="2">
        <v>1</v>
      </c>
      <c r="AV98" s="1">
        <v>1</v>
      </c>
      <c r="AW98" s="1">
        <v>1</v>
      </c>
      <c r="AX98" s="1">
        <v>1</v>
      </c>
      <c r="AY98" s="3">
        <v>1</v>
      </c>
      <c r="AZ98" s="86">
        <f>SUMPRODUCT($AT$15:$AX$15,T_MEASURES[[#This Row],[&lt;5.000]:[&gt;100.000]])</f>
        <v>1</v>
      </c>
      <c r="BA98" s="1">
        <v>1</v>
      </c>
      <c r="BB98" s="1">
        <v>1</v>
      </c>
      <c r="BC98" s="1">
        <v>1</v>
      </c>
      <c r="BD98" s="1">
        <v>1</v>
      </c>
      <c r="BE98" s="1">
        <v>1</v>
      </c>
      <c r="BF98" s="1">
        <v>1</v>
      </c>
      <c r="BG98" s="1"/>
      <c r="BH98" s="86" cm="1">
        <f t="array" ref="BH98">SUMPRODUCT(--((T_MEASURES[[#This Row],[Health or social care centers]:[Schools / Educational centers]] + $AZ$15:$BF$15)&gt;0))</f>
        <v>6</v>
      </c>
      <c r="BI98" s="88">
        <v>0</v>
      </c>
      <c r="BJ98" s="88">
        <v>0</v>
      </c>
      <c r="BK98" s="88">
        <v>3</v>
      </c>
      <c r="BL98" s="88">
        <v>2</v>
      </c>
      <c r="BM98" s="88">
        <v>3</v>
      </c>
      <c r="BN98" s="88">
        <v>2</v>
      </c>
      <c r="BO98" s="88">
        <v>3</v>
      </c>
      <c r="BP98" s="88">
        <v>3</v>
      </c>
      <c r="BQ98" s="96" cm="1">
        <f t="array" ref="BQ98">T_MEASURES[[#This Row],[Apply size]]*(SUMPRODUCT(T_MEASURES[[#This Row],[C1_Urban Cooling]:[C8_Time]],TRANSPOSE('2.WEIGHTS'!$L$12:$L$19))+(ROW(C98)-ROW($C$18)+1)*0.0000000001)*100</f>
        <v>200.00000080999999</v>
      </c>
      <c r="BR98" s="21"/>
      <c r="BS98" s="38"/>
    </row>
    <row r="99" spans="1:71" ht="33.6" x14ac:dyDescent="0.3">
      <c r="A99" s="21"/>
      <c r="B99" s="38"/>
      <c r="C99" s="21"/>
      <c r="D99" s="86">
        <f>IF(T_MEASURES[[#This Row],[Weight Criterion]]&lt;=0,"",_xlfn.RANK.EQ(T_MEASURES[[#This Row],[Weight Criterion]],T_MEASURES[Weight Criterion]))</f>
        <v>67</v>
      </c>
      <c r="E99" s="152" t="s">
        <v>290</v>
      </c>
      <c r="F99" s="150" t="s">
        <v>431</v>
      </c>
      <c r="G99" s="150" t="s">
        <v>42</v>
      </c>
      <c r="H99" s="150" t="s">
        <v>126</v>
      </c>
      <c r="I99" s="150" t="s">
        <v>291</v>
      </c>
      <c r="J99" s="150"/>
      <c r="K99" s="153">
        <v>1</v>
      </c>
      <c r="L99" s="18"/>
      <c r="M99" s="18"/>
      <c r="N99" s="154" t="str">
        <f t="shared" si="3"/>
        <v>€</v>
      </c>
      <c r="O99" s="155"/>
      <c r="P99" s="155"/>
      <c r="Q99" s="19">
        <v>1</v>
      </c>
      <c r="R99" s="155">
        <v>1</v>
      </c>
      <c r="S99" s="72" t="str">
        <f>IF(T_MEASURES[[#This Row],[No risk (0)]]=1,"■","")</f>
        <v/>
      </c>
      <c r="T99" s="73" t="str">
        <f>IF(T_MEASURES[[#This Row],[Low risk (1)]]=1,"■","")</f>
        <v/>
      </c>
      <c r="U99" s="74" t="str">
        <f>IF(T_MEASURES[[#This Row],[Medium risk (2)]]=1,"■","")</f>
        <v>■</v>
      </c>
      <c r="V99" s="71" t="str">
        <f>IF(T_MEASURES[[#This Row],[High risk (3)]]=1,"■","")</f>
        <v>■</v>
      </c>
      <c r="W99" s="18" t="str">
        <f t="shared" si="4"/>
        <v>4. High (Red)</v>
      </c>
      <c r="X99" s="18">
        <f>COUNT(T_MEASURES[[#This Row],[Buildings and public facilities]:[Coordination]])</f>
        <v>4</v>
      </c>
      <c r="Y99" s="18">
        <v>1</v>
      </c>
      <c r="Z99" s="18" t="str">
        <f>IF(T_MEASURES[[#This Row],[Buildings and public facilities]]=1,"Yes","No")</f>
        <v>Yes</v>
      </c>
      <c r="AA99" s="18"/>
      <c r="AB99" s="18" t="str">
        <f>IF(T_MEASURES[[#This Row],[Urban planning]]=1,"Yes","No")</f>
        <v>No</v>
      </c>
      <c r="AC99" s="18">
        <v>1</v>
      </c>
      <c r="AD99" s="18" t="str">
        <f>IF(T_MEASURES[[#This Row],[Culture and Sports]],"Yes","No")</f>
        <v>Yes</v>
      </c>
      <c r="AE99" s="18"/>
      <c r="AF99" s="18" t="str">
        <f>IF(T_MEASURES[[#This Row],[Tourism]],"Yes","No")</f>
        <v>No</v>
      </c>
      <c r="AG99" s="18"/>
      <c r="AH99" s="18" t="str">
        <f>IF(T_MEASURES[[#This Row],[Occupational risks]],"Yes","No")</f>
        <v>No</v>
      </c>
      <c r="AI99" s="18">
        <v>1</v>
      </c>
      <c r="AJ99" s="18" t="str">
        <f>IF(T_MEASURES[[#This Row],[Education]],"Yes","No")</f>
        <v>Yes</v>
      </c>
      <c r="AK99" s="18">
        <v>1</v>
      </c>
      <c r="AL99" s="18" t="str">
        <f>IF(T_MEASURES[[#This Row],[Social Services]],"Yes","No")</f>
        <v>Yes</v>
      </c>
      <c r="AM99" s="18"/>
      <c r="AN99" s="18" t="str">
        <f>IF(T_MEASURES[[#This Row],[Emergency Services and Police]],"Yes","No")</f>
        <v>No</v>
      </c>
      <c r="AO99" s="18"/>
      <c r="AP99" s="18" t="str">
        <f>IF(T_MEASURES[[#This Row],[Parks and gardens (Urban Green Infrastructure)]],"Yes","No")</f>
        <v>No</v>
      </c>
      <c r="AQ99" s="18"/>
      <c r="AR99" s="18" t="str">
        <f>IF(T_MEASURES[[#This Row],[Transport]],"Yes","No")</f>
        <v>No</v>
      </c>
      <c r="AS99" s="158"/>
      <c r="AT99" s="1" t="str">
        <f>IF(T_MEASURES[[#This Row],[Coordination]],"Yes","No")</f>
        <v>No</v>
      </c>
      <c r="AU99" s="2">
        <v>1</v>
      </c>
      <c r="AV99" s="1">
        <v>1</v>
      </c>
      <c r="AW99" s="1">
        <v>1</v>
      </c>
      <c r="AX99" s="1">
        <v>1</v>
      </c>
      <c r="AY99" s="3">
        <v>1</v>
      </c>
      <c r="AZ99" s="86">
        <f>SUMPRODUCT($AT$15:$AX$15,T_MEASURES[[#This Row],[&lt;5.000]:[&gt;100.000]])</f>
        <v>1</v>
      </c>
      <c r="BA99" s="1">
        <v>1</v>
      </c>
      <c r="BB99" s="1"/>
      <c r="BC99" s="1">
        <v>1</v>
      </c>
      <c r="BD99" s="1">
        <v>1</v>
      </c>
      <c r="BE99" s="1">
        <v>1</v>
      </c>
      <c r="BF99" s="1">
        <v>1</v>
      </c>
      <c r="BG99" s="1">
        <v>1</v>
      </c>
      <c r="BH99" s="86" cm="1">
        <f t="array" ref="BH99">SUMPRODUCT(--((T_MEASURES[[#This Row],[Health or social care centers]:[Schools / Educational centers]] + $AZ$15:$BF$15)&gt;0))</f>
        <v>6</v>
      </c>
      <c r="BI99" s="1">
        <v>2</v>
      </c>
      <c r="BJ99" s="1">
        <v>0</v>
      </c>
      <c r="BK99" s="1">
        <v>2</v>
      </c>
      <c r="BL99" s="1">
        <v>2</v>
      </c>
      <c r="BM99" s="1">
        <v>2</v>
      </c>
      <c r="BN99" s="1">
        <v>2</v>
      </c>
      <c r="BO99" s="1">
        <v>2</v>
      </c>
      <c r="BP99" s="1">
        <v>3</v>
      </c>
      <c r="BQ99" s="96" cm="1">
        <f t="array" ref="BQ99">T_MEASURES[[#This Row],[Apply size]]*(SUMPRODUCT(T_MEASURES[[#This Row],[C1_Urban Cooling]:[C8_Time]],TRANSPOSE('2.WEIGHTS'!$L$12:$L$19))+(ROW(C99)-ROW($C$18)+1)*0.0000000001)*100</f>
        <v>187.50000082</v>
      </c>
      <c r="BR99" s="21"/>
      <c r="BS99" s="38"/>
    </row>
    <row r="100" spans="1:71" ht="33.6" x14ac:dyDescent="0.3">
      <c r="A100" s="21"/>
      <c r="B100" s="38"/>
      <c r="C100" s="21"/>
      <c r="D100" s="86">
        <f>IF(T_MEASURES[[#This Row],[Weight Criterion]]&lt;=0,"",_xlfn.RANK.EQ(T_MEASURES[[#This Row],[Weight Criterion]],T_MEASURES[Weight Criterion]))</f>
        <v>28</v>
      </c>
      <c r="E100" s="152" t="s">
        <v>292</v>
      </c>
      <c r="F100" s="150" t="s">
        <v>431</v>
      </c>
      <c r="G100" s="150" t="s">
        <v>42</v>
      </c>
      <c r="H100" s="150" t="s">
        <v>135</v>
      </c>
      <c r="I100" s="150" t="s">
        <v>293</v>
      </c>
      <c r="J100" s="150"/>
      <c r="K100" s="153">
        <v>1</v>
      </c>
      <c r="L100" s="18"/>
      <c r="M100" s="18"/>
      <c r="N100" s="154" t="str">
        <f t="shared" si="3"/>
        <v>€</v>
      </c>
      <c r="O100" s="155"/>
      <c r="P100" s="155"/>
      <c r="Q100" s="19">
        <v>1</v>
      </c>
      <c r="R100" s="155">
        <v>1</v>
      </c>
      <c r="S100" s="72" t="str">
        <f>IF(T_MEASURES[[#This Row],[No risk (0)]]=1,"■","")</f>
        <v/>
      </c>
      <c r="T100" s="73" t="str">
        <f>IF(T_MEASURES[[#This Row],[Low risk (1)]]=1,"■","")</f>
        <v/>
      </c>
      <c r="U100" s="74" t="str">
        <f>IF(T_MEASURES[[#This Row],[Medium risk (2)]]=1,"■","")</f>
        <v>■</v>
      </c>
      <c r="V100" s="71" t="str">
        <f>IF(T_MEASURES[[#This Row],[High risk (3)]]=1,"■","")</f>
        <v>■</v>
      </c>
      <c r="W100" s="18" t="str">
        <f t="shared" si="4"/>
        <v>4. High (Red)</v>
      </c>
      <c r="X100" s="18">
        <f>COUNT(T_MEASURES[[#This Row],[Buildings and public facilities]:[Coordination]])</f>
        <v>1</v>
      </c>
      <c r="Y100" s="18"/>
      <c r="Z100" s="18" t="str">
        <f>IF(T_MEASURES[[#This Row],[Buildings and public facilities]]=1,"Yes","No")</f>
        <v>No</v>
      </c>
      <c r="AA100" s="18"/>
      <c r="AB100" s="18" t="str">
        <f>IF(T_MEASURES[[#This Row],[Urban planning]]=1,"Yes","No")</f>
        <v>No</v>
      </c>
      <c r="AC100" s="18"/>
      <c r="AD100" s="18" t="str">
        <f>IF(T_MEASURES[[#This Row],[Culture and Sports]],"Yes","No")</f>
        <v>No</v>
      </c>
      <c r="AE100" s="18"/>
      <c r="AF100" s="18" t="str">
        <f>IF(T_MEASURES[[#This Row],[Tourism]],"Yes","No")</f>
        <v>No</v>
      </c>
      <c r="AG100" s="18">
        <v>1</v>
      </c>
      <c r="AH100" s="18" t="str">
        <f>IF(T_MEASURES[[#This Row],[Occupational risks]],"Yes","No")</f>
        <v>Yes</v>
      </c>
      <c r="AI100" s="18"/>
      <c r="AJ100" s="18" t="str">
        <f>IF(T_MEASURES[[#This Row],[Education]],"Yes","No")</f>
        <v>No</v>
      </c>
      <c r="AK100" s="18"/>
      <c r="AL100" s="18" t="str">
        <f>IF(T_MEASURES[[#This Row],[Social Services]],"Yes","No")</f>
        <v>No</v>
      </c>
      <c r="AM100" s="18"/>
      <c r="AN100" s="18" t="str">
        <f>IF(T_MEASURES[[#This Row],[Emergency Services and Police]],"Yes","No")</f>
        <v>No</v>
      </c>
      <c r="AO100" s="18"/>
      <c r="AP100" s="18" t="str">
        <f>IF(T_MEASURES[[#This Row],[Parks and gardens (Urban Green Infrastructure)]],"Yes","No")</f>
        <v>No</v>
      </c>
      <c r="AQ100" s="18"/>
      <c r="AR100" s="18" t="str">
        <f>IF(T_MEASURES[[#This Row],[Transport]],"Yes","No")</f>
        <v>No</v>
      </c>
      <c r="AS100" s="158"/>
      <c r="AT100" s="1" t="str">
        <f>IF(T_MEASURES[[#This Row],[Coordination]],"Yes","No")</f>
        <v>No</v>
      </c>
      <c r="AU100" s="2">
        <v>1</v>
      </c>
      <c r="AV100" s="1">
        <v>1</v>
      </c>
      <c r="AW100" s="1">
        <v>1</v>
      </c>
      <c r="AX100" s="1">
        <v>1</v>
      </c>
      <c r="AY100" s="3">
        <v>1</v>
      </c>
      <c r="AZ100" s="86">
        <f>SUMPRODUCT($AT$15:$AX$15,T_MEASURES[[#This Row],[&lt;5.000]:[&gt;100.000]])</f>
        <v>1</v>
      </c>
      <c r="BA100" s="1">
        <v>1</v>
      </c>
      <c r="BB100" s="1">
        <v>1</v>
      </c>
      <c r="BC100" s="1">
        <v>1</v>
      </c>
      <c r="BD100" s="1">
        <v>1</v>
      </c>
      <c r="BE100" s="1">
        <v>1</v>
      </c>
      <c r="BF100" s="1">
        <v>1</v>
      </c>
      <c r="BG100" s="1">
        <v>1</v>
      </c>
      <c r="BH100" s="86" cm="1">
        <f t="array" ref="BH100">SUMPRODUCT(--((T_MEASURES[[#This Row],[Health or social care centers]:[Schools / Educational centers]] + $AZ$15:$BF$15)&gt;0))</f>
        <v>7</v>
      </c>
      <c r="BI100" s="88">
        <v>0</v>
      </c>
      <c r="BJ100" s="88">
        <v>0</v>
      </c>
      <c r="BK100" s="88">
        <v>3</v>
      </c>
      <c r="BL100" s="88">
        <v>2</v>
      </c>
      <c r="BM100" s="88">
        <v>3</v>
      </c>
      <c r="BN100" s="88">
        <v>2</v>
      </c>
      <c r="BO100" s="88">
        <v>3</v>
      </c>
      <c r="BP100" s="88">
        <v>3</v>
      </c>
      <c r="BQ100" s="96" cm="1">
        <f t="array" ref="BQ100">T_MEASURES[[#This Row],[Apply size]]*(SUMPRODUCT(T_MEASURES[[#This Row],[C1_Urban Cooling]:[C8_Time]],TRANSPOSE('2.WEIGHTS'!$L$12:$L$19))+(ROW(C100)-ROW($C$18)+1)*0.0000000001)*100</f>
        <v>200.00000082999998</v>
      </c>
      <c r="BR100" s="21"/>
      <c r="BS100" s="38"/>
    </row>
    <row r="101" spans="1:71" ht="33.6" x14ac:dyDescent="0.3">
      <c r="A101" s="21"/>
      <c r="B101" s="38"/>
      <c r="C101" s="21"/>
      <c r="D101" s="86">
        <f>IF(T_MEASURES[[#This Row],[Weight Criterion]]&lt;=0,"",_xlfn.RANK.EQ(T_MEASURES[[#This Row],[Weight Criterion]],T_MEASURES[Weight Criterion]))</f>
        <v>27</v>
      </c>
      <c r="E101" s="152" t="s">
        <v>294</v>
      </c>
      <c r="F101" s="150" t="s">
        <v>431</v>
      </c>
      <c r="G101" s="150" t="s">
        <v>42</v>
      </c>
      <c r="H101" s="150" t="s">
        <v>135</v>
      </c>
      <c r="I101" s="150" t="s">
        <v>295</v>
      </c>
      <c r="J101" s="150"/>
      <c r="K101" s="153">
        <v>1</v>
      </c>
      <c r="L101" s="18"/>
      <c r="M101" s="18"/>
      <c r="N101" s="154" t="str">
        <f t="shared" si="3"/>
        <v>€</v>
      </c>
      <c r="O101" s="155"/>
      <c r="P101" s="155">
        <v>1</v>
      </c>
      <c r="Q101" s="19">
        <v>1</v>
      </c>
      <c r="R101" s="155">
        <v>1</v>
      </c>
      <c r="S101" s="72" t="str">
        <f>IF(T_MEASURES[[#This Row],[No risk (0)]]=1,"■","")</f>
        <v/>
      </c>
      <c r="T101" s="73" t="str">
        <f>IF(T_MEASURES[[#This Row],[Low risk (1)]]=1,"■","")</f>
        <v>■</v>
      </c>
      <c r="U101" s="74" t="str">
        <f>IF(T_MEASURES[[#This Row],[Medium risk (2)]]=1,"■","")</f>
        <v>■</v>
      </c>
      <c r="V101" s="71" t="str">
        <f>IF(T_MEASURES[[#This Row],[High risk (3)]]=1,"■","")</f>
        <v>■</v>
      </c>
      <c r="W101" s="18" t="str">
        <f t="shared" si="4"/>
        <v>4. High (Red)</v>
      </c>
      <c r="X101" s="18">
        <f>COUNT(T_MEASURES[[#This Row],[Buildings and public facilities]:[Coordination]])</f>
        <v>1</v>
      </c>
      <c r="Y101" s="18"/>
      <c r="Z101" s="18" t="str">
        <f>IF(T_MEASURES[[#This Row],[Buildings and public facilities]]=1,"Yes","No")</f>
        <v>No</v>
      </c>
      <c r="AA101" s="18"/>
      <c r="AB101" s="18" t="str">
        <f>IF(T_MEASURES[[#This Row],[Urban planning]]=1,"Yes","No")</f>
        <v>No</v>
      </c>
      <c r="AC101" s="18"/>
      <c r="AD101" s="18" t="str">
        <f>IF(T_MEASURES[[#This Row],[Culture and Sports]],"Yes","No")</f>
        <v>No</v>
      </c>
      <c r="AE101" s="18"/>
      <c r="AF101" s="18" t="str">
        <f>IF(T_MEASURES[[#This Row],[Tourism]],"Yes","No")</f>
        <v>No</v>
      </c>
      <c r="AG101" s="18">
        <v>1</v>
      </c>
      <c r="AH101" s="18" t="str">
        <f>IF(T_MEASURES[[#This Row],[Occupational risks]],"Yes","No")</f>
        <v>Yes</v>
      </c>
      <c r="AI101" s="18"/>
      <c r="AJ101" s="18" t="str">
        <f>IF(T_MEASURES[[#This Row],[Education]],"Yes","No")</f>
        <v>No</v>
      </c>
      <c r="AK101" s="18"/>
      <c r="AL101" s="18" t="str">
        <f>IF(T_MEASURES[[#This Row],[Social Services]],"Yes","No")</f>
        <v>No</v>
      </c>
      <c r="AM101" s="18"/>
      <c r="AN101" s="18" t="str">
        <f>IF(T_MEASURES[[#This Row],[Emergency Services and Police]],"Yes","No")</f>
        <v>No</v>
      </c>
      <c r="AO101" s="18"/>
      <c r="AP101" s="18" t="str">
        <f>IF(T_MEASURES[[#This Row],[Parks and gardens (Urban Green Infrastructure)]],"Yes","No")</f>
        <v>No</v>
      </c>
      <c r="AQ101" s="18"/>
      <c r="AR101" s="18" t="str">
        <f>IF(T_MEASURES[[#This Row],[Transport]],"Yes","No")</f>
        <v>No</v>
      </c>
      <c r="AS101" s="158"/>
      <c r="AT101" s="1" t="str">
        <f>IF(T_MEASURES[[#This Row],[Coordination]],"Yes","No")</f>
        <v>No</v>
      </c>
      <c r="AU101" s="2">
        <v>1</v>
      </c>
      <c r="AV101" s="1">
        <v>1</v>
      </c>
      <c r="AW101" s="1">
        <v>1</v>
      </c>
      <c r="AX101" s="1">
        <v>1</v>
      </c>
      <c r="AY101" s="3">
        <v>1</v>
      </c>
      <c r="AZ101" s="86">
        <f>SUMPRODUCT($AT$15:$AX$15,T_MEASURES[[#This Row],[&lt;5.000]:[&gt;100.000]])</f>
        <v>1</v>
      </c>
      <c r="BA101" s="1">
        <v>1</v>
      </c>
      <c r="BB101" s="1">
        <v>1</v>
      </c>
      <c r="BC101" s="1">
        <v>1</v>
      </c>
      <c r="BD101" s="1">
        <v>1</v>
      </c>
      <c r="BE101" s="1">
        <v>1</v>
      </c>
      <c r="BF101" s="1">
        <v>1</v>
      </c>
      <c r="BG101" s="1">
        <v>1</v>
      </c>
      <c r="BH101" s="86" cm="1">
        <f t="array" ref="BH101">SUMPRODUCT(--((T_MEASURES[[#This Row],[Health or social care centers]:[Schools / Educational centers]] + $AZ$15:$BF$15)&gt;0))</f>
        <v>7</v>
      </c>
      <c r="BI101" s="1">
        <v>0</v>
      </c>
      <c r="BJ101" s="1">
        <v>0</v>
      </c>
      <c r="BK101" s="1">
        <v>3</v>
      </c>
      <c r="BL101" s="1">
        <v>2</v>
      </c>
      <c r="BM101" s="1">
        <v>3</v>
      </c>
      <c r="BN101" s="1">
        <v>2</v>
      </c>
      <c r="BO101" s="1">
        <v>3</v>
      </c>
      <c r="BP101" s="1">
        <v>3</v>
      </c>
      <c r="BQ101" s="96" cm="1">
        <f t="array" ref="BQ101">T_MEASURES[[#This Row],[Apply size]]*(SUMPRODUCT(T_MEASURES[[#This Row],[C1_Urban Cooling]:[C8_Time]],TRANSPOSE('2.WEIGHTS'!$L$12:$L$19))+(ROW(C101)-ROW($C$18)+1)*0.0000000001)*100</f>
        <v>200.00000083999998</v>
      </c>
      <c r="BR101" s="21"/>
      <c r="BS101" s="38"/>
    </row>
    <row r="102" spans="1:71" ht="33.6" x14ac:dyDescent="0.3">
      <c r="A102" s="21"/>
      <c r="B102" s="38"/>
      <c r="C102" s="21"/>
      <c r="D102" s="86">
        <f>IF(T_MEASURES[[#This Row],[Weight Criterion]]&lt;=0,"",_xlfn.RANK.EQ(T_MEASURES[[#This Row],[Weight Criterion]],T_MEASURES[Weight Criterion]))</f>
        <v>66</v>
      </c>
      <c r="E102" s="152" t="s">
        <v>296</v>
      </c>
      <c r="F102" s="150" t="s">
        <v>431</v>
      </c>
      <c r="G102" s="150" t="s">
        <v>42</v>
      </c>
      <c r="H102" s="150" t="s">
        <v>135</v>
      </c>
      <c r="I102" s="150" t="s">
        <v>297</v>
      </c>
      <c r="J102" s="150"/>
      <c r="K102" s="153">
        <v>1</v>
      </c>
      <c r="L102" s="18"/>
      <c r="M102" s="18"/>
      <c r="N102" s="154" t="str">
        <f t="shared" si="3"/>
        <v>€</v>
      </c>
      <c r="O102" s="155"/>
      <c r="P102" s="155"/>
      <c r="Q102" s="19">
        <v>1</v>
      </c>
      <c r="R102" s="155">
        <v>1</v>
      </c>
      <c r="S102" s="72" t="str">
        <f>IF(T_MEASURES[[#This Row],[No risk (0)]]=1,"■","")</f>
        <v/>
      </c>
      <c r="T102" s="73" t="str">
        <f>IF(T_MEASURES[[#This Row],[Low risk (1)]]=1,"■","")</f>
        <v/>
      </c>
      <c r="U102" s="74" t="str">
        <f>IF(T_MEASURES[[#This Row],[Medium risk (2)]]=1,"■","")</f>
        <v>■</v>
      </c>
      <c r="V102" s="71" t="str">
        <f>IF(T_MEASURES[[#This Row],[High risk (3)]]=1,"■","")</f>
        <v>■</v>
      </c>
      <c r="W102" s="18" t="str">
        <f t="shared" si="4"/>
        <v>4. High (Red)</v>
      </c>
      <c r="X102" s="18">
        <f>COUNT(T_MEASURES[[#This Row],[Buildings and public facilities]:[Coordination]])</f>
        <v>2</v>
      </c>
      <c r="Y102" s="18">
        <v>1</v>
      </c>
      <c r="Z102" s="18" t="str">
        <f>IF(T_MEASURES[[#This Row],[Buildings and public facilities]]=1,"Yes","No")</f>
        <v>Yes</v>
      </c>
      <c r="AA102" s="18"/>
      <c r="AB102" s="18" t="str">
        <f>IF(T_MEASURES[[#This Row],[Urban planning]]=1,"Yes","No")</f>
        <v>No</v>
      </c>
      <c r="AC102" s="18"/>
      <c r="AD102" s="18" t="str">
        <f>IF(T_MEASURES[[#This Row],[Culture and Sports]],"Yes","No")</f>
        <v>No</v>
      </c>
      <c r="AE102" s="18"/>
      <c r="AF102" s="18" t="str">
        <f>IF(T_MEASURES[[#This Row],[Tourism]],"Yes","No")</f>
        <v>No</v>
      </c>
      <c r="AG102" s="18"/>
      <c r="AH102" s="18" t="str">
        <f>IF(T_MEASURES[[#This Row],[Occupational risks]],"Yes","No")</f>
        <v>No</v>
      </c>
      <c r="AI102" s="18"/>
      <c r="AJ102" s="18" t="str">
        <f>IF(T_MEASURES[[#This Row],[Education]],"Yes","No")</f>
        <v>No</v>
      </c>
      <c r="AK102" s="18">
        <v>1</v>
      </c>
      <c r="AL102" s="18" t="str">
        <f>IF(T_MEASURES[[#This Row],[Social Services]],"Yes","No")</f>
        <v>Yes</v>
      </c>
      <c r="AM102" s="18"/>
      <c r="AN102" s="18" t="str">
        <f>IF(T_MEASURES[[#This Row],[Emergency Services and Police]],"Yes","No")</f>
        <v>No</v>
      </c>
      <c r="AO102" s="18"/>
      <c r="AP102" s="18" t="str">
        <f>IF(T_MEASURES[[#This Row],[Parks and gardens (Urban Green Infrastructure)]],"Yes","No")</f>
        <v>No</v>
      </c>
      <c r="AQ102" s="18"/>
      <c r="AR102" s="18" t="str">
        <f>IF(T_MEASURES[[#This Row],[Transport]],"Yes","No")</f>
        <v>No</v>
      </c>
      <c r="AS102" s="158"/>
      <c r="AT102" s="1" t="str">
        <f>IF(T_MEASURES[[#This Row],[Coordination]],"Yes","No")</f>
        <v>No</v>
      </c>
      <c r="AU102" s="2">
        <v>1</v>
      </c>
      <c r="AV102" s="1">
        <v>1</v>
      </c>
      <c r="AW102" s="1">
        <v>1</v>
      </c>
      <c r="AX102" s="1">
        <v>1</v>
      </c>
      <c r="AY102" s="3">
        <v>1</v>
      </c>
      <c r="AZ102" s="86">
        <f>SUMPRODUCT($AT$15:$AX$15,T_MEASURES[[#This Row],[&lt;5.000]:[&gt;100.000]])</f>
        <v>1</v>
      </c>
      <c r="BA102" s="1">
        <v>1</v>
      </c>
      <c r="BB102" s="1">
        <v>1</v>
      </c>
      <c r="BC102" s="1">
        <v>1</v>
      </c>
      <c r="BD102" s="1">
        <v>1</v>
      </c>
      <c r="BE102" s="1">
        <v>1</v>
      </c>
      <c r="BF102" s="1">
        <v>1</v>
      </c>
      <c r="BG102" s="1">
        <v>1</v>
      </c>
      <c r="BH102" s="86" cm="1">
        <f t="array" ref="BH102">SUMPRODUCT(--((T_MEASURES[[#This Row],[Health or social care centers]:[Schools / Educational centers]] + $AZ$15:$BF$15)&gt;0))</f>
        <v>7</v>
      </c>
      <c r="BI102" s="88">
        <v>0</v>
      </c>
      <c r="BJ102" s="88">
        <v>0</v>
      </c>
      <c r="BK102" s="88">
        <v>3</v>
      </c>
      <c r="BL102" s="88">
        <v>1</v>
      </c>
      <c r="BM102" s="88">
        <v>3</v>
      </c>
      <c r="BN102" s="88">
        <v>2</v>
      </c>
      <c r="BO102" s="88">
        <v>3</v>
      </c>
      <c r="BP102" s="88">
        <v>3</v>
      </c>
      <c r="BQ102" s="96" cm="1">
        <f t="array" ref="BQ102">T_MEASURES[[#This Row],[Apply size]]*(SUMPRODUCT(T_MEASURES[[#This Row],[C1_Urban Cooling]:[C8_Time]],TRANSPOSE('2.WEIGHTS'!$L$12:$L$19))+(ROW(C102)-ROW($C$18)+1)*0.0000000001)*100</f>
        <v>187.50000084999999</v>
      </c>
      <c r="BR102" s="21"/>
      <c r="BS102" s="38"/>
    </row>
    <row r="103" spans="1:71" ht="33.6" x14ac:dyDescent="0.3">
      <c r="A103" s="21"/>
      <c r="B103" s="38"/>
      <c r="C103" s="21"/>
      <c r="D103" s="86">
        <f>IF(T_MEASURES[[#This Row],[Weight Criterion]]&lt;=0,"",_xlfn.RANK.EQ(T_MEASURES[[#This Row],[Weight Criterion]],T_MEASURES[Weight Criterion]))</f>
        <v>7</v>
      </c>
      <c r="E103" s="152" t="s">
        <v>298</v>
      </c>
      <c r="F103" s="150" t="s">
        <v>431</v>
      </c>
      <c r="G103" s="150" t="s">
        <v>44</v>
      </c>
      <c r="H103" s="150" t="s">
        <v>245</v>
      </c>
      <c r="I103" s="150" t="s">
        <v>299</v>
      </c>
      <c r="J103" s="150"/>
      <c r="K103" s="153">
        <v>1</v>
      </c>
      <c r="L103" s="18"/>
      <c r="M103" s="18"/>
      <c r="N103" s="154" t="str">
        <f t="shared" si="3"/>
        <v>€</v>
      </c>
      <c r="O103" s="155"/>
      <c r="P103" s="155"/>
      <c r="Q103" s="19">
        <v>1</v>
      </c>
      <c r="R103" s="155">
        <v>1</v>
      </c>
      <c r="S103" s="72" t="str">
        <f>IF(T_MEASURES[[#This Row],[No risk (0)]]=1,"■","")</f>
        <v/>
      </c>
      <c r="T103" s="73" t="str">
        <f>IF(T_MEASURES[[#This Row],[Low risk (1)]]=1,"■","")</f>
        <v/>
      </c>
      <c r="U103" s="74" t="str">
        <f>IF(T_MEASURES[[#This Row],[Medium risk (2)]]=1,"■","")</f>
        <v>■</v>
      </c>
      <c r="V103" s="71" t="str">
        <f>IF(T_MEASURES[[#This Row],[High risk (3)]]=1,"■","")</f>
        <v>■</v>
      </c>
      <c r="W103" s="18" t="str">
        <f t="shared" si="4"/>
        <v>4. High (Red)</v>
      </c>
      <c r="X103" s="18">
        <f>COUNT(T_MEASURES[[#This Row],[Buildings and public facilities]:[Coordination]])</f>
        <v>3</v>
      </c>
      <c r="Y103" s="18"/>
      <c r="Z103" s="18" t="str">
        <f>IF(T_MEASURES[[#This Row],[Buildings and public facilities]]=1,"Yes","No")</f>
        <v>No</v>
      </c>
      <c r="AA103" s="18"/>
      <c r="AB103" s="18" t="str">
        <f>IF(T_MEASURES[[#This Row],[Urban planning]]=1,"Yes","No")</f>
        <v>No</v>
      </c>
      <c r="AC103" s="18"/>
      <c r="AD103" s="18" t="str">
        <f>IF(T_MEASURES[[#This Row],[Culture and Sports]],"Yes","No")</f>
        <v>No</v>
      </c>
      <c r="AE103" s="18"/>
      <c r="AF103" s="18" t="str">
        <f>IF(T_MEASURES[[#This Row],[Tourism]],"Yes","No")</f>
        <v>No</v>
      </c>
      <c r="AG103" s="18"/>
      <c r="AH103" s="18" t="str">
        <f>IF(T_MEASURES[[#This Row],[Occupational risks]],"Yes","No")</f>
        <v>No</v>
      </c>
      <c r="AI103" s="18"/>
      <c r="AJ103" s="18" t="str">
        <f>IF(T_MEASURES[[#This Row],[Education]],"Yes","No")</f>
        <v>No</v>
      </c>
      <c r="AK103" s="18">
        <v>1</v>
      </c>
      <c r="AL103" s="18" t="str">
        <f>IF(T_MEASURES[[#This Row],[Social Services]],"Yes","No")</f>
        <v>Yes</v>
      </c>
      <c r="AM103" s="18">
        <v>1</v>
      </c>
      <c r="AN103" s="18" t="str">
        <f>IF(T_MEASURES[[#This Row],[Emergency Services and Police]],"Yes","No")</f>
        <v>Yes</v>
      </c>
      <c r="AO103" s="18"/>
      <c r="AP103" s="18" t="str">
        <f>IF(T_MEASURES[[#This Row],[Parks and gardens (Urban Green Infrastructure)]],"Yes","No")</f>
        <v>No</v>
      </c>
      <c r="AQ103" s="18"/>
      <c r="AR103" s="18" t="str">
        <f>IF(T_MEASURES[[#This Row],[Transport]],"Yes","No")</f>
        <v>No</v>
      </c>
      <c r="AS103" s="158">
        <v>1</v>
      </c>
      <c r="AT103" s="1" t="str">
        <f>IF(T_MEASURES[[#This Row],[Coordination]],"Yes","No")</f>
        <v>Yes</v>
      </c>
      <c r="AU103" s="2">
        <v>1</v>
      </c>
      <c r="AV103" s="1">
        <v>1</v>
      </c>
      <c r="AW103" s="1">
        <v>1</v>
      </c>
      <c r="AX103" s="1">
        <v>1</v>
      </c>
      <c r="AY103" s="3">
        <v>1</v>
      </c>
      <c r="AZ103" s="86">
        <f>SUMPRODUCT($AT$15:$AX$15,T_MEASURES[[#This Row],[&lt;5.000]:[&gt;100.000]])</f>
        <v>1</v>
      </c>
      <c r="BA103" s="1">
        <v>1</v>
      </c>
      <c r="BB103" s="1">
        <v>1</v>
      </c>
      <c r="BC103" s="1">
        <v>1</v>
      </c>
      <c r="BD103" s="1">
        <v>1</v>
      </c>
      <c r="BE103" s="1">
        <v>1</v>
      </c>
      <c r="BF103" s="1">
        <v>1</v>
      </c>
      <c r="BG103" s="1">
        <v>1</v>
      </c>
      <c r="BH103" s="86" cm="1">
        <f t="array" ref="BH103">SUMPRODUCT(--((T_MEASURES[[#This Row],[Health or social care centers]:[Schools / Educational centers]] + $AZ$15:$BF$15)&gt;0))</f>
        <v>7</v>
      </c>
      <c r="BI103" s="1">
        <v>0</v>
      </c>
      <c r="BJ103" s="1">
        <v>0</v>
      </c>
      <c r="BK103" s="1">
        <v>3</v>
      </c>
      <c r="BL103" s="1">
        <v>3</v>
      </c>
      <c r="BM103" s="1">
        <v>3</v>
      </c>
      <c r="BN103" s="1">
        <v>2</v>
      </c>
      <c r="BO103" s="1">
        <v>3</v>
      </c>
      <c r="BP103" s="1">
        <v>3</v>
      </c>
      <c r="BQ103" s="96" cm="1">
        <f t="array" ref="BQ103">T_MEASURES[[#This Row],[Apply size]]*(SUMPRODUCT(T_MEASURES[[#This Row],[C1_Urban Cooling]:[C8_Time]],TRANSPOSE('2.WEIGHTS'!$L$12:$L$19))+(ROW(C103)-ROW($C$18)+1)*0.0000000001)*100</f>
        <v>212.50000085999997</v>
      </c>
      <c r="BR103" s="21"/>
      <c r="BS103" s="38"/>
    </row>
    <row r="104" spans="1:71" ht="33.6" x14ac:dyDescent="0.3">
      <c r="A104" s="21"/>
      <c r="B104" s="38"/>
      <c r="C104" s="21"/>
      <c r="D104" s="86">
        <f>IF(T_MEASURES[[#This Row],[Weight Criterion]]&lt;=0,"",_xlfn.RANK.EQ(T_MEASURES[[#This Row],[Weight Criterion]],T_MEASURES[Weight Criterion]))</f>
        <v>26</v>
      </c>
      <c r="E104" s="152" t="s">
        <v>300</v>
      </c>
      <c r="F104" s="151" t="s">
        <v>431</v>
      </c>
      <c r="G104" s="151" t="s">
        <v>42</v>
      </c>
      <c r="H104" s="151" t="s">
        <v>135</v>
      </c>
      <c r="I104" s="151" t="s">
        <v>301</v>
      </c>
      <c r="J104" s="151"/>
      <c r="K104" s="153">
        <v>1</v>
      </c>
      <c r="L104" s="18"/>
      <c r="M104" s="18"/>
      <c r="N104" s="154" t="str">
        <f t="shared" si="3"/>
        <v>€</v>
      </c>
      <c r="O104" s="155"/>
      <c r="P104" s="155"/>
      <c r="Q104" s="19">
        <v>1</v>
      </c>
      <c r="R104" s="155">
        <v>1</v>
      </c>
      <c r="S104" s="72" t="str">
        <f>IF(T_MEASURES[[#This Row],[No risk (0)]]=1,"■","")</f>
        <v/>
      </c>
      <c r="T104" s="73" t="str">
        <f>IF(T_MEASURES[[#This Row],[Low risk (1)]]=1,"■","")</f>
        <v/>
      </c>
      <c r="U104" s="74" t="str">
        <f>IF(T_MEASURES[[#This Row],[Medium risk (2)]]=1,"■","")</f>
        <v>■</v>
      </c>
      <c r="V104" s="71" t="str">
        <f>IF(T_MEASURES[[#This Row],[High risk (3)]]=1,"■","")</f>
        <v>■</v>
      </c>
      <c r="W104" s="18" t="str">
        <f t="shared" si="4"/>
        <v>4. High (Red)</v>
      </c>
      <c r="X104" s="18">
        <f>COUNT(T_MEASURES[[#This Row],[Buildings and public facilities]:[Coordination]])</f>
        <v>1</v>
      </c>
      <c r="Y104" s="18"/>
      <c r="Z104" s="18" t="str">
        <f>IF(T_MEASURES[[#This Row],[Buildings and public facilities]]=1,"Yes","No")</f>
        <v>No</v>
      </c>
      <c r="AA104" s="18"/>
      <c r="AB104" s="18" t="str">
        <f>IF(T_MEASURES[[#This Row],[Urban planning]]=1,"Yes","No")</f>
        <v>No</v>
      </c>
      <c r="AC104" s="18"/>
      <c r="AD104" s="18" t="str">
        <f>IF(T_MEASURES[[#This Row],[Culture and Sports]],"Yes","No")</f>
        <v>No</v>
      </c>
      <c r="AE104" s="18"/>
      <c r="AF104" s="18" t="str">
        <f>IF(T_MEASURES[[#This Row],[Tourism]],"Yes","No")</f>
        <v>No</v>
      </c>
      <c r="AG104" s="18"/>
      <c r="AH104" s="18" t="str">
        <f>IF(T_MEASURES[[#This Row],[Occupational risks]],"Yes","No")</f>
        <v>No</v>
      </c>
      <c r="AI104" s="18">
        <v>1</v>
      </c>
      <c r="AJ104" s="18" t="str">
        <f>IF(T_MEASURES[[#This Row],[Education]],"Yes","No")</f>
        <v>Yes</v>
      </c>
      <c r="AK104" s="18"/>
      <c r="AL104" s="18" t="str">
        <f>IF(T_MEASURES[[#This Row],[Social Services]],"Yes","No")</f>
        <v>No</v>
      </c>
      <c r="AM104" s="18"/>
      <c r="AN104" s="18" t="str">
        <f>IF(T_MEASURES[[#This Row],[Emergency Services and Police]],"Yes","No")</f>
        <v>No</v>
      </c>
      <c r="AO104" s="18"/>
      <c r="AP104" s="18" t="str">
        <f>IF(T_MEASURES[[#This Row],[Parks and gardens (Urban Green Infrastructure)]],"Yes","No")</f>
        <v>No</v>
      </c>
      <c r="AQ104" s="18"/>
      <c r="AR104" s="18" t="str">
        <f>IF(T_MEASURES[[#This Row],[Transport]],"Yes","No")</f>
        <v>No</v>
      </c>
      <c r="AS104" s="158"/>
      <c r="AT104" s="1" t="str">
        <f>IF(T_MEASURES[[#This Row],[Coordination]],"Yes","No")</f>
        <v>No</v>
      </c>
      <c r="AU104" s="2">
        <v>1</v>
      </c>
      <c r="AV104" s="1">
        <v>1</v>
      </c>
      <c r="AW104" s="1">
        <v>1</v>
      </c>
      <c r="AX104" s="1">
        <v>1</v>
      </c>
      <c r="AY104" s="3">
        <v>1</v>
      </c>
      <c r="AZ104" s="86">
        <f>SUMPRODUCT($AT$15:$AX$15,T_MEASURES[[#This Row],[&lt;5.000]:[&gt;100.000]])</f>
        <v>1</v>
      </c>
      <c r="BA104" s="1">
        <v>1</v>
      </c>
      <c r="BB104" s="1">
        <v>1</v>
      </c>
      <c r="BC104" s="1">
        <v>1</v>
      </c>
      <c r="BD104" s="1">
        <v>1</v>
      </c>
      <c r="BE104" s="1">
        <v>1</v>
      </c>
      <c r="BF104" s="1">
        <v>1</v>
      </c>
      <c r="BG104" s="1">
        <v>1</v>
      </c>
      <c r="BH104" s="86" cm="1">
        <f t="array" ref="BH104">SUMPRODUCT(--((T_MEASURES[[#This Row],[Health or social care centers]:[Schools / Educational centers]] + $AZ$15:$BF$15)&gt;0))</f>
        <v>7</v>
      </c>
      <c r="BI104" s="88">
        <v>0</v>
      </c>
      <c r="BJ104" s="88">
        <v>0</v>
      </c>
      <c r="BK104" s="88">
        <v>3</v>
      </c>
      <c r="BL104" s="88">
        <v>2</v>
      </c>
      <c r="BM104" s="88">
        <v>3</v>
      </c>
      <c r="BN104" s="88">
        <v>2</v>
      </c>
      <c r="BO104" s="88">
        <v>3</v>
      </c>
      <c r="BP104" s="88">
        <v>3</v>
      </c>
      <c r="BQ104" s="96" cm="1">
        <f t="array" ref="BQ104">T_MEASURES[[#This Row],[Apply size]]*(SUMPRODUCT(T_MEASURES[[#This Row],[C1_Urban Cooling]:[C8_Time]],TRANSPOSE('2.WEIGHTS'!$L$12:$L$19))+(ROW(C104)-ROW($C$18)+1)*0.0000000001)*100</f>
        <v>200.00000086999998</v>
      </c>
      <c r="BR104" s="21"/>
      <c r="BS104" s="38"/>
    </row>
    <row r="105" spans="1:71" ht="33.6" x14ac:dyDescent="0.3">
      <c r="A105" s="21"/>
      <c r="B105" s="38"/>
      <c r="C105" s="21"/>
      <c r="D105" s="86">
        <f>IF(T_MEASURES[[#This Row],[Weight Criterion]]&lt;=0,"",_xlfn.RANK.EQ(T_MEASURES[[#This Row],[Weight Criterion]],T_MEASURES[Weight Criterion]))</f>
        <v>25</v>
      </c>
      <c r="E105" s="152" t="s">
        <v>302</v>
      </c>
      <c r="F105" s="151" t="s">
        <v>431</v>
      </c>
      <c r="G105" s="151" t="s">
        <v>42</v>
      </c>
      <c r="H105" s="151" t="s">
        <v>135</v>
      </c>
      <c r="I105" s="151" t="s">
        <v>303</v>
      </c>
      <c r="J105" s="151"/>
      <c r="K105" s="153">
        <v>1</v>
      </c>
      <c r="L105" s="18"/>
      <c r="M105" s="18"/>
      <c r="N105" s="154" t="str">
        <f t="shared" si="3"/>
        <v>€</v>
      </c>
      <c r="O105" s="155"/>
      <c r="P105" s="155"/>
      <c r="Q105" s="19">
        <v>1</v>
      </c>
      <c r="R105" s="155">
        <v>1</v>
      </c>
      <c r="S105" s="72" t="str">
        <f>IF(T_MEASURES[[#This Row],[No risk (0)]]=1,"■","")</f>
        <v/>
      </c>
      <c r="T105" s="73" t="str">
        <f>IF(T_MEASURES[[#This Row],[Low risk (1)]]=1,"■","")</f>
        <v/>
      </c>
      <c r="U105" s="74" t="str">
        <f>IF(T_MEASURES[[#This Row],[Medium risk (2)]]=1,"■","")</f>
        <v>■</v>
      </c>
      <c r="V105" s="71" t="str">
        <f>IF(T_MEASURES[[#This Row],[High risk (3)]]=1,"■","")</f>
        <v>■</v>
      </c>
      <c r="W105" s="18" t="str">
        <f t="shared" si="4"/>
        <v>4. High (Red)</v>
      </c>
      <c r="X105" s="18">
        <f>COUNT(T_MEASURES[[#This Row],[Buildings and public facilities]:[Coordination]])</f>
        <v>1</v>
      </c>
      <c r="Y105" s="18"/>
      <c r="Z105" s="18" t="str">
        <f>IF(T_MEASURES[[#This Row],[Buildings and public facilities]]=1,"Yes","No")</f>
        <v>No</v>
      </c>
      <c r="AA105" s="18"/>
      <c r="AB105" s="18" t="str">
        <f>IF(T_MEASURES[[#This Row],[Urban planning]]=1,"Yes","No")</f>
        <v>No</v>
      </c>
      <c r="AC105" s="18"/>
      <c r="AD105" s="18" t="str">
        <f>IF(T_MEASURES[[#This Row],[Culture and Sports]],"Yes","No")</f>
        <v>No</v>
      </c>
      <c r="AE105" s="18"/>
      <c r="AF105" s="18" t="str">
        <f>IF(T_MEASURES[[#This Row],[Tourism]],"Yes","No")</f>
        <v>No</v>
      </c>
      <c r="AG105" s="18"/>
      <c r="AH105" s="18" t="str">
        <f>IF(T_MEASURES[[#This Row],[Occupational risks]],"Yes","No")</f>
        <v>No</v>
      </c>
      <c r="AI105" s="18">
        <v>1</v>
      </c>
      <c r="AJ105" s="18" t="str">
        <f>IF(T_MEASURES[[#This Row],[Education]],"Yes","No")</f>
        <v>Yes</v>
      </c>
      <c r="AK105" s="18"/>
      <c r="AL105" s="18" t="str">
        <f>IF(T_MEASURES[[#This Row],[Social Services]],"Yes","No")</f>
        <v>No</v>
      </c>
      <c r="AM105" s="18"/>
      <c r="AN105" s="18" t="str">
        <f>IF(T_MEASURES[[#This Row],[Emergency Services and Police]],"Yes","No")</f>
        <v>No</v>
      </c>
      <c r="AO105" s="18"/>
      <c r="AP105" s="18" t="str">
        <f>IF(T_MEASURES[[#This Row],[Parks and gardens (Urban Green Infrastructure)]],"Yes","No")</f>
        <v>No</v>
      </c>
      <c r="AQ105" s="18"/>
      <c r="AR105" s="18" t="str">
        <f>IF(T_MEASURES[[#This Row],[Transport]],"Yes","No")</f>
        <v>No</v>
      </c>
      <c r="AS105" s="158"/>
      <c r="AT105" s="1" t="str">
        <f>IF(T_MEASURES[[#This Row],[Coordination]],"Yes","No")</f>
        <v>No</v>
      </c>
      <c r="AU105" s="2">
        <v>1</v>
      </c>
      <c r="AV105" s="1">
        <v>1</v>
      </c>
      <c r="AW105" s="1">
        <v>1</v>
      </c>
      <c r="AX105" s="1">
        <v>1</v>
      </c>
      <c r="AY105" s="3">
        <v>1</v>
      </c>
      <c r="AZ105" s="86">
        <f>SUMPRODUCT($AT$15:$AX$15,T_MEASURES[[#This Row],[&lt;5.000]:[&gt;100.000]])</f>
        <v>1</v>
      </c>
      <c r="BA105" s="1">
        <v>1</v>
      </c>
      <c r="BB105" s="1">
        <v>1</v>
      </c>
      <c r="BC105" s="1">
        <v>1</v>
      </c>
      <c r="BD105" s="1">
        <v>1</v>
      </c>
      <c r="BE105" s="1">
        <v>1</v>
      </c>
      <c r="BF105" s="1">
        <v>1</v>
      </c>
      <c r="BG105" s="1">
        <v>1</v>
      </c>
      <c r="BH105" s="86" cm="1">
        <f t="array" ref="BH105">SUMPRODUCT(--((T_MEASURES[[#This Row],[Health or social care centers]:[Schools / Educational centers]] + $AZ$15:$BF$15)&gt;0))</f>
        <v>7</v>
      </c>
      <c r="BI105" s="1">
        <v>0</v>
      </c>
      <c r="BJ105" s="1">
        <v>0</v>
      </c>
      <c r="BK105" s="1">
        <v>3</v>
      </c>
      <c r="BL105" s="1">
        <v>2</v>
      </c>
      <c r="BM105" s="1">
        <v>3</v>
      </c>
      <c r="BN105" s="1">
        <v>2</v>
      </c>
      <c r="BO105" s="1">
        <v>3</v>
      </c>
      <c r="BP105" s="1">
        <v>3</v>
      </c>
      <c r="BQ105" s="96" cm="1">
        <f t="array" ref="BQ105">T_MEASURES[[#This Row],[Apply size]]*(SUMPRODUCT(T_MEASURES[[#This Row],[C1_Urban Cooling]:[C8_Time]],TRANSPOSE('2.WEIGHTS'!$L$12:$L$19))+(ROW(C105)-ROW($C$18)+1)*0.0000000001)*100</f>
        <v>200.00000087999999</v>
      </c>
      <c r="BR105" s="21"/>
      <c r="BS105" s="38"/>
    </row>
    <row r="106" spans="1:71" ht="33.6" x14ac:dyDescent="0.3">
      <c r="A106" s="21"/>
      <c r="B106" s="38"/>
      <c r="C106" s="21"/>
      <c r="D106" s="86">
        <f>IF(T_MEASURES[[#This Row],[Weight Criterion]]&lt;=0,"",_xlfn.RANK.EQ(T_MEASURES[[#This Row],[Weight Criterion]],T_MEASURES[Weight Criterion]))</f>
        <v>24</v>
      </c>
      <c r="E106" s="152" t="s">
        <v>304</v>
      </c>
      <c r="F106" s="151" t="s">
        <v>431</v>
      </c>
      <c r="G106" s="151" t="s">
        <v>42</v>
      </c>
      <c r="H106" s="151" t="s">
        <v>135</v>
      </c>
      <c r="I106" s="151" t="s">
        <v>305</v>
      </c>
      <c r="J106" s="151"/>
      <c r="K106" s="153">
        <v>1</v>
      </c>
      <c r="L106" s="18"/>
      <c r="M106" s="18"/>
      <c r="N106" s="154" t="str">
        <f t="shared" si="3"/>
        <v>€</v>
      </c>
      <c r="O106" s="155"/>
      <c r="P106" s="155"/>
      <c r="Q106" s="19">
        <v>1</v>
      </c>
      <c r="R106" s="155">
        <v>1</v>
      </c>
      <c r="S106" s="72" t="str">
        <f>IF(T_MEASURES[[#This Row],[No risk (0)]]=1,"■","")</f>
        <v/>
      </c>
      <c r="T106" s="73" t="str">
        <f>IF(T_MEASURES[[#This Row],[Low risk (1)]]=1,"■","")</f>
        <v/>
      </c>
      <c r="U106" s="74" t="str">
        <f>IF(T_MEASURES[[#This Row],[Medium risk (2)]]=1,"■","")</f>
        <v>■</v>
      </c>
      <c r="V106" s="71" t="str">
        <f>IF(T_MEASURES[[#This Row],[High risk (3)]]=1,"■","")</f>
        <v>■</v>
      </c>
      <c r="W106" s="18" t="str">
        <f t="shared" si="4"/>
        <v>4. High (Red)</v>
      </c>
      <c r="X106" s="18">
        <f>COUNT(T_MEASURES[[#This Row],[Buildings and public facilities]:[Coordination]])</f>
        <v>1</v>
      </c>
      <c r="Y106" s="18"/>
      <c r="Z106" s="18" t="str">
        <f>IF(T_MEASURES[[#This Row],[Buildings and public facilities]]=1,"Yes","No")</f>
        <v>No</v>
      </c>
      <c r="AA106" s="18"/>
      <c r="AB106" s="18" t="str">
        <f>IF(T_MEASURES[[#This Row],[Urban planning]]=1,"Yes","No")</f>
        <v>No</v>
      </c>
      <c r="AC106" s="18"/>
      <c r="AD106" s="18" t="str">
        <f>IF(T_MEASURES[[#This Row],[Culture and Sports]],"Yes","No")</f>
        <v>No</v>
      </c>
      <c r="AE106" s="18"/>
      <c r="AF106" s="18" t="str">
        <f>IF(T_MEASURES[[#This Row],[Tourism]],"Yes","No")</f>
        <v>No</v>
      </c>
      <c r="AG106" s="18"/>
      <c r="AH106" s="18" t="str">
        <f>IF(T_MEASURES[[#This Row],[Occupational risks]],"Yes","No")</f>
        <v>No</v>
      </c>
      <c r="AI106" s="18">
        <v>1</v>
      </c>
      <c r="AJ106" s="18" t="str">
        <f>IF(T_MEASURES[[#This Row],[Education]],"Yes","No")</f>
        <v>Yes</v>
      </c>
      <c r="AK106" s="18"/>
      <c r="AL106" s="18" t="str">
        <f>IF(T_MEASURES[[#This Row],[Social Services]],"Yes","No")</f>
        <v>No</v>
      </c>
      <c r="AM106" s="18"/>
      <c r="AN106" s="18" t="str">
        <f>IF(T_MEASURES[[#This Row],[Emergency Services and Police]],"Yes","No")</f>
        <v>No</v>
      </c>
      <c r="AO106" s="18"/>
      <c r="AP106" s="18" t="str">
        <f>IF(T_MEASURES[[#This Row],[Parks and gardens (Urban Green Infrastructure)]],"Yes","No")</f>
        <v>No</v>
      </c>
      <c r="AQ106" s="18"/>
      <c r="AR106" s="18" t="str">
        <f>IF(T_MEASURES[[#This Row],[Transport]],"Yes","No")</f>
        <v>No</v>
      </c>
      <c r="AS106" s="158"/>
      <c r="AT106" s="1" t="str">
        <f>IF(T_MEASURES[[#This Row],[Coordination]],"Yes","No")</f>
        <v>No</v>
      </c>
      <c r="AU106" s="2">
        <v>1</v>
      </c>
      <c r="AV106" s="1">
        <v>1</v>
      </c>
      <c r="AW106" s="1">
        <v>1</v>
      </c>
      <c r="AX106" s="1">
        <v>1</v>
      </c>
      <c r="AY106" s="3">
        <v>1</v>
      </c>
      <c r="AZ106" s="86">
        <f>SUMPRODUCT($AT$15:$AX$15,T_MEASURES[[#This Row],[&lt;5.000]:[&gt;100.000]])</f>
        <v>1</v>
      </c>
      <c r="BA106" s="1">
        <v>1</v>
      </c>
      <c r="BB106" s="1">
        <v>1</v>
      </c>
      <c r="BC106" s="1">
        <v>1</v>
      </c>
      <c r="BD106" s="1">
        <v>1</v>
      </c>
      <c r="BE106" s="1">
        <v>1</v>
      </c>
      <c r="BF106" s="1">
        <v>1</v>
      </c>
      <c r="BG106" s="1">
        <v>1</v>
      </c>
      <c r="BH106" s="86" cm="1">
        <f t="array" ref="BH106">SUMPRODUCT(--((T_MEASURES[[#This Row],[Health or social care centers]:[Schools / Educational centers]] + $AZ$15:$BF$15)&gt;0))</f>
        <v>7</v>
      </c>
      <c r="BI106" s="88">
        <v>0</v>
      </c>
      <c r="BJ106" s="88">
        <v>0</v>
      </c>
      <c r="BK106" s="88">
        <v>3</v>
      </c>
      <c r="BL106" s="88">
        <v>2</v>
      </c>
      <c r="BM106" s="88">
        <v>3</v>
      </c>
      <c r="BN106" s="88">
        <v>2</v>
      </c>
      <c r="BO106" s="88">
        <v>3</v>
      </c>
      <c r="BP106" s="88">
        <v>3</v>
      </c>
      <c r="BQ106" s="96" cm="1">
        <f t="array" ref="BQ106">T_MEASURES[[#This Row],[Apply size]]*(SUMPRODUCT(T_MEASURES[[#This Row],[C1_Urban Cooling]:[C8_Time]],TRANSPOSE('2.WEIGHTS'!$L$12:$L$19))+(ROW(C106)-ROW($C$18)+1)*0.0000000001)*100</f>
        <v>200.00000089</v>
      </c>
      <c r="BR106" s="21"/>
      <c r="BS106" s="38"/>
    </row>
    <row r="107" spans="1:71" ht="33.6" x14ac:dyDescent="0.3">
      <c r="A107" s="21"/>
      <c r="B107" s="38"/>
      <c r="C107" s="21"/>
      <c r="D107" s="86">
        <f>IF(T_MEASURES[[#This Row],[Weight Criterion]]&lt;=0,"",_xlfn.RANK.EQ(T_MEASURES[[#This Row],[Weight Criterion]],T_MEASURES[Weight Criterion]))</f>
        <v>23</v>
      </c>
      <c r="E107" s="152" t="s">
        <v>306</v>
      </c>
      <c r="F107" s="151" t="s">
        <v>431</v>
      </c>
      <c r="G107" s="151" t="s">
        <v>42</v>
      </c>
      <c r="H107" s="151" t="s">
        <v>135</v>
      </c>
      <c r="I107" s="151" t="s">
        <v>307</v>
      </c>
      <c r="J107" s="151"/>
      <c r="K107" s="153">
        <v>1</v>
      </c>
      <c r="L107" s="18"/>
      <c r="M107" s="18"/>
      <c r="N107" s="154" t="str">
        <f t="shared" si="3"/>
        <v>€</v>
      </c>
      <c r="O107" s="155"/>
      <c r="P107" s="155"/>
      <c r="Q107" s="19">
        <v>1</v>
      </c>
      <c r="R107" s="155">
        <v>1</v>
      </c>
      <c r="S107" s="72" t="str">
        <f>IF(T_MEASURES[[#This Row],[No risk (0)]]=1,"■","")</f>
        <v/>
      </c>
      <c r="T107" s="73" t="str">
        <f>IF(T_MEASURES[[#This Row],[Low risk (1)]]=1,"■","")</f>
        <v/>
      </c>
      <c r="U107" s="74" t="str">
        <f>IF(T_MEASURES[[#This Row],[Medium risk (2)]]=1,"■","")</f>
        <v>■</v>
      </c>
      <c r="V107" s="71" t="str">
        <f>IF(T_MEASURES[[#This Row],[High risk (3)]]=1,"■","")</f>
        <v>■</v>
      </c>
      <c r="W107" s="18" t="str">
        <f t="shared" si="4"/>
        <v>4. High (Red)</v>
      </c>
      <c r="X107" s="18">
        <f>COUNT(T_MEASURES[[#This Row],[Buildings and public facilities]:[Coordination]])</f>
        <v>1</v>
      </c>
      <c r="Y107" s="18"/>
      <c r="Z107" s="18" t="str">
        <f>IF(T_MEASURES[[#This Row],[Buildings and public facilities]]=1,"Yes","No")</f>
        <v>No</v>
      </c>
      <c r="AA107" s="18"/>
      <c r="AB107" s="18" t="str">
        <f>IF(T_MEASURES[[#This Row],[Urban planning]]=1,"Yes","No")</f>
        <v>No</v>
      </c>
      <c r="AC107" s="18"/>
      <c r="AD107" s="18" t="str">
        <f>IF(T_MEASURES[[#This Row],[Culture and Sports]],"Yes","No")</f>
        <v>No</v>
      </c>
      <c r="AE107" s="18"/>
      <c r="AF107" s="18" t="str">
        <f>IF(T_MEASURES[[#This Row],[Tourism]],"Yes","No")</f>
        <v>No</v>
      </c>
      <c r="AG107" s="18"/>
      <c r="AH107" s="18" t="str">
        <f>IF(T_MEASURES[[#This Row],[Occupational risks]],"Yes","No")</f>
        <v>No</v>
      </c>
      <c r="AI107" s="18">
        <v>1</v>
      </c>
      <c r="AJ107" s="18" t="str">
        <f>IF(T_MEASURES[[#This Row],[Education]],"Yes","No")</f>
        <v>Yes</v>
      </c>
      <c r="AK107" s="18"/>
      <c r="AL107" s="18" t="str">
        <f>IF(T_MEASURES[[#This Row],[Social Services]],"Yes","No")</f>
        <v>No</v>
      </c>
      <c r="AM107" s="18"/>
      <c r="AN107" s="18" t="str">
        <f>IF(T_MEASURES[[#This Row],[Emergency Services and Police]],"Yes","No")</f>
        <v>No</v>
      </c>
      <c r="AO107" s="18"/>
      <c r="AP107" s="18" t="str">
        <f>IF(T_MEASURES[[#This Row],[Parks and gardens (Urban Green Infrastructure)]],"Yes","No")</f>
        <v>No</v>
      </c>
      <c r="AQ107" s="18"/>
      <c r="AR107" s="18" t="str">
        <f>IF(T_MEASURES[[#This Row],[Transport]],"Yes","No")</f>
        <v>No</v>
      </c>
      <c r="AS107" s="158"/>
      <c r="AT107" s="1" t="str">
        <f>IF(T_MEASURES[[#This Row],[Coordination]],"Yes","No")</f>
        <v>No</v>
      </c>
      <c r="AU107" s="2">
        <v>1</v>
      </c>
      <c r="AV107" s="1">
        <v>1</v>
      </c>
      <c r="AW107" s="1">
        <v>1</v>
      </c>
      <c r="AX107" s="1">
        <v>1</v>
      </c>
      <c r="AY107" s="3">
        <v>1</v>
      </c>
      <c r="AZ107" s="86">
        <f>SUMPRODUCT($AT$15:$AX$15,T_MEASURES[[#This Row],[&lt;5.000]:[&gt;100.000]])</f>
        <v>1</v>
      </c>
      <c r="BA107" s="1">
        <v>1</v>
      </c>
      <c r="BB107" s="1">
        <v>1</v>
      </c>
      <c r="BC107" s="1">
        <v>1</v>
      </c>
      <c r="BD107" s="1">
        <v>1</v>
      </c>
      <c r="BE107" s="1">
        <v>1</v>
      </c>
      <c r="BF107" s="1">
        <v>1</v>
      </c>
      <c r="BG107" s="1">
        <v>1</v>
      </c>
      <c r="BH107" s="86" cm="1">
        <f t="array" ref="BH107">SUMPRODUCT(--((T_MEASURES[[#This Row],[Health or social care centers]:[Schools / Educational centers]] + $AZ$15:$BF$15)&gt;0))</f>
        <v>7</v>
      </c>
      <c r="BI107" s="1">
        <v>0</v>
      </c>
      <c r="BJ107" s="1">
        <v>0</v>
      </c>
      <c r="BK107" s="1">
        <v>3</v>
      </c>
      <c r="BL107" s="1">
        <v>2</v>
      </c>
      <c r="BM107" s="1">
        <v>3</v>
      </c>
      <c r="BN107" s="1">
        <v>2</v>
      </c>
      <c r="BO107" s="1">
        <v>3</v>
      </c>
      <c r="BP107" s="1">
        <v>3</v>
      </c>
      <c r="BQ107" s="96" cm="1">
        <f t="array" ref="BQ107">T_MEASURES[[#This Row],[Apply size]]*(SUMPRODUCT(T_MEASURES[[#This Row],[C1_Urban Cooling]:[C8_Time]],TRANSPOSE('2.WEIGHTS'!$L$12:$L$19))+(ROW(C107)-ROW($C$18)+1)*0.0000000001)*100</f>
        <v>200.00000089999997</v>
      </c>
      <c r="BR107" s="21"/>
      <c r="BS107" s="38"/>
    </row>
    <row r="108" spans="1:71" ht="43.2" x14ac:dyDescent="0.3">
      <c r="A108" s="21"/>
      <c r="B108" s="38"/>
      <c r="C108" s="21"/>
      <c r="D108" s="86">
        <f>IF(T_MEASURES[[#This Row],[Weight Criterion]]&lt;=0,"",_xlfn.RANK.EQ(T_MEASURES[[#This Row],[Weight Criterion]],T_MEASURES[Weight Criterion]))</f>
        <v>22</v>
      </c>
      <c r="E108" s="152" t="s">
        <v>308</v>
      </c>
      <c r="F108" s="151" t="s">
        <v>431</v>
      </c>
      <c r="G108" s="151" t="s">
        <v>44</v>
      </c>
      <c r="H108" s="151" t="s">
        <v>245</v>
      </c>
      <c r="I108" s="151" t="s">
        <v>309</v>
      </c>
      <c r="J108" s="151"/>
      <c r="K108" s="153">
        <v>1</v>
      </c>
      <c r="L108" s="18"/>
      <c r="M108" s="18"/>
      <c r="N108" s="154" t="str">
        <f t="shared" si="3"/>
        <v>€</v>
      </c>
      <c r="O108" s="155"/>
      <c r="P108" s="155"/>
      <c r="Q108" s="19">
        <v>1</v>
      </c>
      <c r="R108" s="155">
        <v>1</v>
      </c>
      <c r="S108" s="72" t="str">
        <f>IF(T_MEASURES[[#This Row],[No risk (0)]]=1,"■","")</f>
        <v/>
      </c>
      <c r="T108" s="73" t="str">
        <f>IF(T_MEASURES[[#This Row],[Low risk (1)]]=1,"■","")</f>
        <v/>
      </c>
      <c r="U108" s="74" t="str">
        <f>IF(T_MEASURES[[#This Row],[Medium risk (2)]]=1,"■","")</f>
        <v>■</v>
      </c>
      <c r="V108" s="71" t="str">
        <f>IF(T_MEASURES[[#This Row],[High risk (3)]]=1,"■","")</f>
        <v>■</v>
      </c>
      <c r="W108" s="18" t="str">
        <f t="shared" si="4"/>
        <v>4. High (Red)</v>
      </c>
      <c r="X108" s="18">
        <f>COUNT(T_MEASURES[[#This Row],[Buildings and public facilities]:[Coordination]])</f>
        <v>1</v>
      </c>
      <c r="Y108" s="18"/>
      <c r="Z108" s="18" t="str">
        <f>IF(T_MEASURES[[#This Row],[Buildings and public facilities]]=1,"Yes","No")</f>
        <v>No</v>
      </c>
      <c r="AA108" s="18"/>
      <c r="AB108" s="18" t="str">
        <f>IF(T_MEASURES[[#This Row],[Urban planning]]=1,"Yes","No")</f>
        <v>No</v>
      </c>
      <c r="AC108" s="18"/>
      <c r="AD108" s="18" t="str">
        <f>IF(T_MEASURES[[#This Row],[Culture and Sports]],"Yes","No")</f>
        <v>No</v>
      </c>
      <c r="AE108" s="18"/>
      <c r="AF108" s="18" t="str">
        <f>IF(T_MEASURES[[#This Row],[Tourism]],"Yes","No")</f>
        <v>No</v>
      </c>
      <c r="AG108" s="18"/>
      <c r="AH108" s="18" t="str">
        <f>IF(T_MEASURES[[#This Row],[Occupational risks]],"Yes","No")</f>
        <v>No</v>
      </c>
      <c r="AI108" s="18">
        <v>1</v>
      </c>
      <c r="AJ108" s="18" t="str">
        <f>IF(T_MEASURES[[#This Row],[Education]],"Yes","No")</f>
        <v>Yes</v>
      </c>
      <c r="AK108" s="18"/>
      <c r="AL108" s="18" t="str">
        <f>IF(T_MEASURES[[#This Row],[Social Services]],"Yes","No")</f>
        <v>No</v>
      </c>
      <c r="AM108" s="18"/>
      <c r="AN108" s="18" t="str">
        <f>IF(T_MEASURES[[#This Row],[Emergency Services and Police]],"Yes","No")</f>
        <v>No</v>
      </c>
      <c r="AO108" s="18"/>
      <c r="AP108" s="18" t="str">
        <f>IF(T_MEASURES[[#This Row],[Parks and gardens (Urban Green Infrastructure)]],"Yes","No")</f>
        <v>No</v>
      </c>
      <c r="AQ108" s="18"/>
      <c r="AR108" s="18" t="str">
        <f>IF(T_MEASURES[[#This Row],[Transport]],"Yes","No")</f>
        <v>No</v>
      </c>
      <c r="AS108" s="158"/>
      <c r="AT108" s="1" t="str">
        <f>IF(T_MEASURES[[#This Row],[Coordination]],"Yes","No")</f>
        <v>No</v>
      </c>
      <c r="AU108" s="2">
        <v>1</v>
      </c>
      <c r="AV108" s="1">
        <v>1</v>
      </c>
      <c r="AW108" s="1">
        <v>1</v>
      </c>
      <c r="AX108" s="1">
        <v>1</v>
      </c>
      <c r="AY108" s="3">
        <v>1</v>
      </c>
      <c r="AZ108" s="86">
        <f>SUMPRODUCT($AT$15:$AX$15,T_MEASURES[[#This Row],[&lt;5.000]:[&gt;100.000]])</f>
        <v>1</v>
      </c>
      <c r="BA108" s="1">
        <v>1</v>
      </c>
      <c r="BB108" s="1">
        <v>1</v>
      </c>
      <c r="BC108" s="1">
        <v>1</v>
      </c>
      <c r="BD108" s="1">
        <v>1</v>
      </c>
      <c r="BE108" s="1">
        <v>1</v>
      </c>
      <c r="BF108" s="1">
        <v>1</v>
      </c>
      <c r="BG108" s="1">
        <v>1</v>
      </c>
      <c r="BH108" s="86" cm="1">
        <f t="array" ref="BH108">SUMPRODUCT(--((T_MEASURES[[#This Row],[Health or social care centers]:[Schools / Educational centers]] + $AZ$15:$BF$15)&gt;0))</f>
        <v>7</v>
      </c>
      <c r="BI108" s="88">
        <v>0</v>
      </c>
      <c r="BJ108" s="88">
        <v>0</v>
      </c>
      <c r="BK108" s="88">
        <v>3</v>
      </c>
      <c r="BL108" s="88">
        <v>2</v>
      </c>
      <c r="BM108" s="88">
        <v>3</v>
      </c>
      <c r="BN108" s="88">
        <v>2</v>
      </c>
      <c r="BO108" s="88">
        <v>3</v>
      </c>
      <c r="BP108" s="88">
        <v>3</v>
      </c>
      <c r="BQ108" s="96" cm="1">
        <f t="array" ref="BQ108">T_MEASURES[[#This Row],[Apply size]]*(SUMPRODUCT(T_MEASURES[[#This Row],[C1_Urban Cooling]:[C8_Time]],TRANSPOSE('2.WEIGHTS'!$L$12:$L$19))+(ROW(C108)-ROW($C$18)+1)*0.0000000001)*100</f>
        <v>200.00000090999998</v>
      </c>
      <c r="BR108" s="21"/>
      <c r="BS108" s="38"/>
    </row>
    <row r="109" spans="1:71" ht="43.2" x14ac:dyDescent="0.3">
      <c r="A109" s="21"/>
      <c r="B109" s="38"/>
      <c r="C109" s="21"/>
      <c r="D109" s="86">
        <f>IF(T_MEASURES[[#This Row],[Weight Criterion]]&lt;=0,"",_xlfn.RANK.EQ(T_MEASURES[[#This Row],[Weight Criterion]],T_MEASURES[Weight Criterion]))</f>
        <v>21</v>
      </c>
      <c r="E109" s="152" t="s">
        <v>310</v>
      </c>
      <c r="F109" s="151" t="s">
        <v>431</v>
      </c>
      <c r="G109" s="151" t="s">
        <v>44</v>
      </c>
      <c r="H109" s="151" t="s">
        <v>245</v>
      </c>
      <c r="I109" s="151" t="s">
        <v>311</v>
      </c>
      <c r="J109" s="151"/>
      <c r="K109" s="153">
        <v>1</v>
      </c>
      <c r="L109" s="18"/>
      <c r="M109" s="18"/>
      <c r="N109" s="154" t="str">
        <f t="shared" si="3"/>
        <v>€</v>
      </c>
      <c r="O109" s="155"/>
      <c r="P109" s="155">
        <v>1</v>
      </c>
      <c r="Q109" s="19">
        <v>1</v>
      </c>
      <c r="R109" s="155"/>
      <c r="S109" s="72" t="str">
        <f>IF(T_MEASURES[[#This Row],[No risk (0)]]=1,"■","")</f>
        <v/>
      </c>
      <c r="T109" s="73" t="str">
        <f>IF(T_MEASURES[[#This Row],[Low risk (1)]]=1,"■","")</f>
        <v>■</v>
      </c>
      <c r="U109" s="74" t="str">
        <f>IF(T_MEASURES[[#This Row],[Medium risk (2)]]=1,"■","")</f>
        <v>■</v>
      </c>
      <c r="V109" s="71" t="str">
        <f>IF(T_MEASURES[[#This Row],[High risk (3)]]=1,"■","")</f>
        <v/>
      </c>
      <c r="W109" s="18" t="str">
        <f t="shared" si="4"/>
        <v>3. Medium (Orange)</v>
      </c>
      <c r="X109" s="18">
        <f>COUNT(T_MEASURES[[#This Row],[Buildings and public facilities]:[Coordination]])</f>
        <v>1</v>
      </c>
      <c r="Y109" s="18"/>
      <c r="Z109" s="18" t="str">
        <f>IF(T_MEASURES[[#This Row],[Buildings and public facilities]]=1,"Yes","No")</f>
        <v>No</v>
      </c>
      <c r="AA109" s="18"/>
      <c r="AB109" s="18" t="str">
        <f>IF(T_MEASURES[[#This Row],[Urban planning]]=1,"Yes","No")</f>
        <v>No</v>
      </c>
      <c r="AC109" s="18"/>
      <c r="AD109" s="18" t="str">
        <f>IF(T_MEASURES[[#This Row],[Culture and Sports]],"Yes","No")</f>
        <v>No</v>
      </c>
      <c r="AE109" s="18"/>
      <c r="AF109" s="18" t="str">
        <f>IF(T_MEASURES[[#This Row],[Tourism]],"Yes","No")</f>
        <v>No</v>
      </c>
      <c r="AG109" s="18"/>
      <c r="AH109" s="18" t="str">
        <f>IF(T_MEASURES[[#This Row],[Occupational risks]],"Yes","No")</f>
        <v>No</v>
      </c>
      <c r="AI109" s="18">
        <v>1</v>
      </c>
      <c r="AJ109" s="18" t="str">
        <f>IF(T_MEASURES[[#This Row],[Education]],"Yes","No")</f>
        <v>Yes</v>
      </c>
      <c r="AK109" s="18"/>
      <c r="AL109" s="18" t="str">
        <f>IF(T_MEASURES[[#This Row],[Social Services]],"Yes","No")</f>
        <v>No</v>
      </c>
      <c r="AM109" s="18"/>
      <c r="AN109" s="18" t="str">
        <f>IF(T_MEASURES[[#This Row],[Emergency Services and Police]],"Yes","No")</f>
        <v>No</v>
      </c>
      <c r="AO109" s="18"/>
      <c r="AP109" s="18" t="str">
        <f>IF(T_MEASURES[[#This Row],[Parks and gardens (Urban Green Infrastructure)]],"Yes","No")</f>
        <v>No</v>
      </c>
      <c r="AQ109" s="18"/>
      <c r="AR109" s="18" t="str">
        <f>IF(T_MEASURES[[#This Row],[Transport]],"Yes","No")</f>
        <v>No</v>
      </c>
      <c r="AS109" s="158"/>
      <c r="AT109" s="1" t="str">
        <f>IF(T_MEASURES[[#This Row],[Coordination]],"Yes","No")</f>
        <v>No</v>
      </c>
      <c r="AU109" s="2">
        <v>1</v>
      </c>
      <c r="AV109" s="1">
        <v>1</v>
      </c>
      <c r="AW109" s="1">
        <v>1</v>
      </c>
      <c r="AX109" s="1">
        <v>1</v>
      </c>
      <c r="AY109" s="3">
        <v>1</v>
      </c>
      <c r="AZ109" s="86">
        <f>SUMPRODUCT($AT$15:$AX$15,T_MEASURES[[#This Row],[&lt;5.000]:[&gt;100.000]])</f>
        <v>1</v>
      </c>
      <c r="BA109" s="1">
        <v>1</v>
      </c>
      <c r="BB109" s="1">
        <v>1</v>
      </c>
      <c r="BC109" s="1">
        <v>1</v>
      </c>
      <c r="BD109" s="1">
        <v>1</v>
      </c>
      <c r="BE109" s="1">
        <v>1</v>
      </c>
      <c r="BF109" s="1">
        <v>1</v>
      </c>
      <c r="BG109" s="1">
        <v>1</v>
      </c>
      <c r="BH109" s="86" cm="1">
        <f t="array" ref="BH109">SUMPRODUCT(--((T_MEASURES[[#This Row],[Health or social care centers]:[Schools / Educational centers]] + $AZ$15:$BF$15)&gt;0))</f>
        <v>7</v>
      </c>
      <c r="BI109" s="1">
        <v>0</v>
      </c>
      <c r="BJ109" s="1">
        <v>0</v>
      </c>
      <c r="BK109" s="1">
        <v>3</v>
      </c>
      <c r="BL109" s="1">
        <v>2</v>
      </c>
      <c r="BM109" s="1">
        <v>3</v>
      </c>
      <c r="BN109" s="1">
        <v>2</v>
      </c>
      <c r="BO109" s="1">
        <v>3</v>
      </c>
      <c r="BP109" s="1">
        <v>3</v>
      </c>
      <c r="BQ109" s="96" cm="1">
        <f t="array" ref="BQ109">T_MEASURES[[#This Row],[Apply size]]*(SUMPRODUCT(T_MEASURES[[#This Row],[C1_Urban Cooling]:[C8_Time]],TRANSPOSE('2.WEIGHTS'!$L$12:$L$19))+(ROW(C109)-ROW($C$18)+1)*0.0000000001)*100</f>
        <v>200.00000091999999</v>
      </c>
      <c r="BR109" s="21"/>
      <c r="BS109" s="38"/>
    </row>
    <row r="110" spans="1:71" ht="33.6" x14ac:dyDescent="0.3">
      <c r="A110" s="21"/>
      <c r="B110" s="38"/>
      <c r="C110" s="21"/>
      <c r="D110" s="86">
        <f>IF(T_MEASURES[[#This Row],[Weight Criterion]]&lt;=0,"",_xlfn.RANK.EQ(T_MEASURES[[#This Row],[Weight Criterion]],T_MEASURES[Weight Criterion]))</f>
        <v>6</v>
      </c>
      <c r="E110" s="152" t="s">
        <v>312</v>
      </c>
      <c r="F110" s="151" t="s">
        <v>431</v>
      </c>
      <c r="G110" s="151" t="s">
        <v>44</v>
      </c>
      <c r="H110" s="151" t="s">
        <v>245</v>
      </c>
      <c r="I110" s="151" t="s">
        <v>313</v>
      </c>
      <c r="J110" s="151"/>
      <c r="K110" s="153">
        <v>1</v>
      </c>
      <c r="L110" s="18"/>
      <c r="M110" s="18"/>
      <c r="N110" s="154" t="str">
        <f t="shared" si="3"/>
        <v>€</v>
      </c>
      <c r="O110" s="155"/>
      <c r="P110" s="155">
        <v>1</v>
      </c>
      <c r="Q110" s="19">
        <v>1</v>
      </c>
      <c r="R110" s="155"/>
      <c r="S110" s="72" t="str">
        <f>IF(T_MEASURES[[#This Row],[No risk (0)]]=1,"■","")</f>
        <v/>
      </c>
      <c r="T110" s="73" t="str">
        <f>IF(T_MEASURES[[#This Row],[Low risk (1)]]=1,"■","")</f>
        <v>■</v>
      </c>
      <c r="U110" s="74" t="str">
        <f>IF(T_MEASURES[[#This Row],[Medium risk (2)]]=1,"■","")</f>
        <v>■</v>
      </c>
      <c r="V110" s="71" t="str">
        <f>IF(T_MEASURES[[#This Row],[High risk (3)]]=1,"■","")</f>
        <v/>
      </c>
      <c r="W110" s="18" t="str">
        <f t="shared" si="4"/>
        <v>3. Medium (Orange)</v>
      </c>
      <c r="X110" s="18">
        <f>COUNT(T_MEASURES[[#This Row],[Buildings and public facilities]:[Coordination]])</f>
        <v>4</v>
      </c>
      <c r="Y110" s="18">
        <v>1</v>
      </c>
      <c r="Z110" s="18" t="str">
        <f>IF(T_MEASURES[[#This Row],[Buildings and public facilities]]=1,"Yes","No")</f>
        <v>Yes</v>
      </c>
      <c r="AA110" s="18"/>
      <c r="AB110" s="18" t="str">
        <f>IF(T_MEASURES[[#This Row],[Urban planning]]=1,"Yes","No")</f>
        <v>No</v>
      </c>
      <c r="AC110" s="18">
        <v>1</v>
      </c>
      <c r="AD110" s="18" t="str">
        <f>IF(T_MEASURES[[#This Row],[Culture and Sports]],"Yes","No")</f>
        <v>Yes</v>
      </c>
      <c r="AE110" s="18"/>
      <c r="AF110" s="18" t="str">
        <f>IF(T_MEASURES[[#This Row],[Tourism]],"Yes","No")</f>
        <v>No</v>
      </c>
      <c r="AG110" s="18"/>
      <c r="AH110" s="18" t="str">
        <f>IF(T_MEASURES[[#This Row],[Occupational risks]],"Yes","No")</f>
        <v>No</v>
      </c>
      <c r="AI110" s="18">
        <v>1</v>
      </c>
      <c r="AJ110" s="18" t="str">
        <f>IF(T_MEASURES[[#This Row],[Education]],"Yes","No")</f>
        <v>Yes</v>
      </c>
      <c r="AK110" s="18">
        <v>1</v>
      </c>
      <c r="AL110" s="18" t="str">
        <f>IF(T_MEASURES[[#This Row],[Social Services]],"Yes","No")</f>
        <v>Yes</v>
      </c>
      <c r="AM110" s="18"/>
      <c r="AN110" s="18" t="str">
        <f>IF(T_MEASURES[[#This Row],[Emergency Services and Police]],"Yes","No")</f>
        <v>No</v>
      </c>
      <c r="AO110" s="18"/>
      <c r="AP110" s="18" t="str">
        <f>IF(T_MEASURES[[#This Row],[Parks and gardens (Urban Green Infrastructure)]],"Yes","No")</f>
        <v>No</v>
      </c>
      <c r="AQ110" s="18"/>
      <c r="AR110" s="18" t="str">
        <f>IF(T_MEASURES[[#This Row],[Transport]],"Yes","No")</f>
        <v>No</v>
      </c>
      <c r="AS110" s="158"/>
      <c r="AT110" s="1" t="str">
        <f>IF(T_MEASURES[[#This Row],[Coordination]],"Yes","No")</f>
        <v>No</v>
      </c>
      <c r="AU110" s="2">
        <v>1</v>
      </c>
      <c r="AV110" s="1">
        <v>1</v>
      </c>
      <c r="AW110" s="1">
        <v>1</v>
      </c>
      <c r="AX110" s="1">
        <v>1</v>
      </c>
      <c r="AY110" s="3">
        <v>1</v>
      </c>
      <c r="AZ110" s="86">
        <f>SUMPRODUCT($AT$15:$AX$15,T_MEASURES[[#This Row],[&lt;5.000]:[&gt;100.000]])</f>
        <v>1</v>
      </c>
      <c r="BA110" s="1">
        <v>1</v>
      </c>
      <c r="BB110" s="1">
        <v>1</v>
      </c>
      <c r="BC110" s="1">
        <v>1</v>
      </c>
      <c r="BD110" s="1">
        <v>1</v>
      </c>
      <c r="BE110" s="1">
        <v>1</v>
      </c>
      <c r="BF110" s="1">
        <v>1</v>
      </c>
      <c r="BG110" s="1">
        <v>1</v>
      </c>
      <c r="BH110" s="86" cm="1">
        <f t="array" ref="BH110">SUMPRODUCT(--((T_MEASURES[[#This Row],[Health or social care centers]:[Schools / Educational centers]] + $AZ$15:$BF$15)&gt;0))</f>
        <v>7</v>
      </c>
      <c r="BI110" s="88">
        <v>0</v>
      </c>
      <c r="BJ110" s="88">
        <v>0</v>
      </c>
      <c r="BK110" s="88">
        <v>3</v>
      </c>
      <c r="BL110" s="88">
        <v>3</v>
      </c>
      <c r="BM110" s="88">
        <v>3</v>
      </c>
      <c r="BN110" s="88">
        <v>2</v>
      </c>
      <c r="BO110" s="88">
        <v>3</v>
      </c>
      <c r="BP110" s="88">
        <v>3</v>
      </c>
      <c r="BQ110" s="96" cm="1">
        <f t="array" ref="BQ110">T_MEASURES[[#This Row],[Apply size]]*(SUMPRODUCT(T_MEASURES[[#This Row],[C1_Urban Cooling]:[C8_Time]],TRANSPOSE('2.WEIGHTS'!$L$12:$L$19))+(ROW(C110)-ROW($C$18)+1)*0.0000000001)*100</f>
        <v>212.50000093</v>
      </c>
      <c r="BR110" s="21"/>
      <c r="BS110" s="38"/>
    </row>
    <row r="111" spans="1:71" ht="43.2" x14ac:dyDescent="0.3">
      <c r="A111" s="21"/>
      <c r="B111" s="38"/>
      <c r="C111" s="21"/>
      <c r="D111" s="86">
        <f>IF(T_MEASURES[[#This Row],[Weight Criterion]]&lt;=0,"",_xlfn.RANK.EQ(T_MEASURES[[#This Row],[Weight Criterion]],T_MEASURES[Weight Criterion]))</f>
        <v>65</v>
      </c>
      <c r="E111" s="152" t="s">
        <v>314</v>
      </c>
      <c r="F111" s="151" t="s">
        <v>431</v>
      </c>
      <c r="G111" s="151" t="s">
        <v>42</v>
      </c>
      <c r="H111" s="151" t="s">
        <v>126</v>
      </c>
      <c r="I111" s="151" t="s">
        <v>315</v>
      </c>
      <c r="J111" s="151"/>
      <c r="K111" s="153">
        <v>1</v>
      </c>
      <c r="L111" s="18"/>
      <c r="M111" s="18"/>
      <c r="N111" s="154" t="str">
        <f t="shared" si="3"/>
        <v>€</v>
      </c>
      <c r="O111" s="155"/>
      <c r="P111" s="155"/>
      <c r="Q111" s="19">
        <v>1</v>
      </c>
      <c r="R111" s="155">
        <v>1</v>
      </c>
      <c r="S111" s="72" t="str">
        <f>IF(T_MEASURES[[#This Row],[No risk (0)]]=1,"■","")</f>
        <v/>
      </c>
      <c r="T111" s="73" t="str">
        <f>IF(T_MEASURES[[#This Row],[Low risk (1)]]=1,"■","")</f>
        <v/>
      </c>
      <c r="U111" s="74" t="str">
        <f>IF(T_MEASURES[[#This Row],[Medium risk (2)]]=1,"■","")</f>
        <v>■</v>
      </c>
      <c r="V111" s="71" t="str">
        <f>IF(T_MEASURES[[#This Row],[High risk (3)]]=1,"■","")</f>
        <v>■</v>
      </c>
      <c r="W111" s="18" t="str">
        <f t="shared" si="4"/>
        <v>4. High (Red)</v>
      </c>
      <c r="X111" s="18">
        <f>COUNT(T_MEASURES[[#This Row],[Buildings and public facilities]:[Coordination]])</f>
        <v>4</v>
      </c>
      <c r="Y111" s="18">
        <v>1</v>
      </c>
      <c r="Z111" s="18" t="str">
        <f>IF(T_MEASURES[[#This Row],[Buildings and public facilities]]=1,"Yes","No")</f>
        <v>Yes</v>
      </c>
      <c r="AA111" s="18"/>
      <c r="AB111" s="18" t="str">
        <f>IF(T_MEASURES[[#This Row],[Urban planning]]=1,"Yes","No")</f>
        <v>No</v>
      </c>
      <c r="AC111" s="18">
        <v>1</v>
      </c>
      <c r="AD111" s="18" t="str">
        <f>IF(T_MEASURES[[#This Row],[Culture and Sports]],"Yes","No")</f>
        <v>Yes</v>
      </c>
      <c r="AE111" s="18"/>
      <c r="AF111" s="18" t="str">
        <f>IF(T_MEASURES[[#This Row],[Tourism]],"Yes","No")</f>
        <v>No</v>
      </c>
      <c r="AG111" s="18"/>
      <c r="AH111" s="18" t="str">
        <f>IF(T_MEASURES[[#This Row],[Occupational risks]],"Yes","No")</f>
        <v>No</v>
      </c>
      <c r="AI111" s="18">
        <v>1</v>
      </c>
      <c r="AJ111" s="18" t="str">
        <f>IF(T_MEASURES[[#This Row],[Education]],"Yes","No")</f>
        <v>Yes</v>
      </c>
      <c r="AK111" s="18">
        <v>1</v>
      </c>
      <c r="AL111" s="18" t="str">
        <f>IF(T_MEASURES[[#This Row],[Social Services]],"Yes","No")</f>
        <v>Yes</v>
      </c>
      <c r="AM111" s="18"/>
      <c r="AN111" s="18" t="str">
        <f>IF(T_MEASURES[[#This Row],[Emergency Services and Police]],"Yes","No")</f>
        <v>No</v>
      </c>
      <c r="AO111" s="18"/>
      <c r="AP111" s="18" t="str">
        <f>IF(T_MEASURES[[#This Row],[Parks and gardens (Urban Green Infrastructure)]],"Yes","No")</f>
        <v>No</v>
      </c>
      <c r="AQ111" s="18"/>
      <c r="AR111" s="18" t="str">
        <f>IF(T_MEASURES[[#This Row],[Transport]],"Yes","No")</f>
        <v>No</v>
      </c>
      <c r="AS111" s="158"/>
      <c r="AT111" s="1" t="str">
        <f>IF(T_MEASURES[[#This Row],[Coordination]],"Yes","No")</f>
        <v>No</v>
      </c>
      <c r="AU111" s="2">
        <v>1</v>
      </c>
      <c r="AV111" s="1">
        <v>1</v>
      </c>
      <c r="AW111" s="1">
        <v>1</v>
      </c>
      <c r="AX111" s="1">
        <v>1</v>
      </c>
      <c r="AY111" s="3">
        <v>1</v>
      </c>
      <c r="AZ111" s="86">
        <f>SUMPRODUCT($AT$15:$AX$15,T_MEASURES[[#This Row],[&lt;5.000]:[&gt;100.000]])</f>
        <v>1</v>
      </c>
      <c r="BA111" s="1">
        <v>1</v>
      </c>
      <c r="BB111" s="1">
        <v>1</v>
      </c>
      <c r="BC111" s="1">
        <v>1</v>
      </c>
      <c r="BD111" s="1">
        <v>1</v>
      </c>
      <c r="BE111" s="1">
        <v>1</v>
      </c>
      <c r="BF111" s="1">
        <v>1</v>
      </c>
      <c r="BG111" s="1">
        <v>1</v>
      </c>
      <c r="BH111" s="86" cm="1">
        <f t="array" ref="BH111">SUMPRODUCT(--((T_MEASURES[[#This Row],[Health or social care centers]:[Schools / Educational centers]] + $AZ$15:$BF$15)&gt;0))</f>
        <v>7</v>
      </c>
      <c r="BI111" s="1">
        <v>0</v>
      </c>
      <c r="BJ111" s="1">
        <v>0</v>
      </c>
      <c r="BK111" s="1">
        <v>2</v>
      </c>
      <c r="BL111" s="1">
        <v>2</v>
      </c>
      <c r="BM111" s="1">
        <v>3</v>
      </c>
      <c r="BN111" s="1">
        <v>2</v>
      </c>
      <c r="BO111" s="1">
        <v>3</v>
      </c>
      <c r="BP111" s="1">
        <v>3</v>
      </c>
      <c r="BQ111" s="96" cm="1">
        <f t="array" ref="BQ111">T_MEASURES[[#This Row],[Apply size]]*(SUMPRODUCT(T_MEASURES[[#This Row],[C1_Urban Cooling]:[C8_Time]],TRANSPOSE('2.WEIGHTS'!$L$12:$L$19))+(ROW(C111)-ROW($C$18)+1)*0.0000000001)*100</f>
        <v>187.50000093999998</v>
      </c>
      <c r="BR111" s="21"/>
      <c r="BS111" s="38"/>
    </row>
    <row r="112" spans="1:71" ht="33.6" x14ac:dyDescent="0.3">
      <c r="A112" s="21"/>
      <c r="B112" s="38"/>
      <c r="C112" s="21"/>
      <c r="D112" s="86">
        <f>IF(T_MEASURES[[#This Row],[Weight Criterion]]&lt;=0,"",_xlfn.RANK.EQ(T_MEASURES[[#This Row],[Weight Criterion]],T_MEASURES[Weight Criterion]))</f>
        <v>64</v>
      </c>
      <c r="E112" s="152" t="s">
        <v>316</v>
      </c>
      <c r="F112" s="151" t="s">
        <v>431</v>
      </c>
      <c r="G112" s="151" t="s">
        <v>42</v>
      </c>
      <c r="H112" s="151" t="s">
        <v>126</v>
      </c>
      <c r="I112" s="151" t="s">
        <v>317</v>
      </c>
      <c r="J112" s="151"/>
      <c r="K112" s="153">
        <v>1</v>
      </c>
      <c r="L112" s="18"/>
      <c r="M112" s="18"/>
      <c r="N112" s="154" t="str">
        <f t="shared" si="3"/>
        <v>€</v>
      </c>
      <c r="O112" s="155"/>
      <c r="P112" s="155"/>
      <c r="Q112" s="19">
        <v>1</v>
      </c>
      <c r="R112" s="155">
        <v>1</v>
      </c>
      <c r="S112" s="72" t="str">
        <f>IF(T_MEASURES[[#This Row],[No risk (0)]]=1,"■","")</f>
        <v/>
      </c>
      <c r="T112" s="73" t="str">
        <f>IF(T_MEASURES[[#This Row],[Low risk (1)]]=1,"■","")</f>
        <v/>
      </c>
      <c r="U112" s="74" t="str">
        <f>IF(T_MEASURES[[#This Row],[Medium risk (2)]]=1,"■","")</f>
        <v>■</v>
      </c>
      <c r="V112" s="71" t="str">
        <f>IF(T_MEASURES[[#This Row],[High risk (3)]]=1,"■","")</f>
        <v>■</v>
      </c>
      <c r="W112" s="18" t="str">
        <f t="shared" si="4"/>
        <v>4. High (Red)</v>
      </c>
      <c r="X112" s="18">
        <f>COUNT(T_MEASURES[[#This Row],[Buildings and public facilities]:[Coordination]])</f>
        <v>2</v>
      </c>
      <c r="Y112" s="18"/>
      <c r="Z112" s="18" t="str">
        <f>IF(T_MEASURES[[#This Row],[Buildings and public facilities]]=1,"Yes","No")</f>
        <v>No</v>
      </c>
      <c r="AA112" s="18"/>
      <c r="AB112" s="18" t="str">
        <f>IF(T_MEASURES[[#This Row],[Urban planning]]=1,"Yes","No")</f>
        <v>No</v>
      </c>
      <c r="AC112" s="18">
        <v>1</v>
      </c>
      <c r="AD112" s="18" t="str">
        <f>IF(T_MEASURES[[#This Row],[Culture and Sports]],"Yes","No")</f>
        <v>Yes</v>
      </c>
      <c r="AE112" s="18">
        <v>1</v>
      </c>
      <c r="AF112" s="18" t="str">
        <f>IF(T_MEASURES[[#This Row],[Tourism]],"Yes","No")</f>
        <v>Yes</v>
      </c>
      <c r="AG112" s="18"/>
      <c r="AH112" s="18" t="str">
        <f>IF(T_MEASURES[[#This Row],[Occupational risks]],"Yes","No")</f>
        <v>No</v>
      </c>
      <c r="AI112" s="18"/>
      <c r="AJ112" s="18" t="str">
        <f>IF(T_MEASURES[[#This Row],[Education]],"Yes","No")</f>
        <v>No</v>
      </c>
      <c r="AK112" s="18"/>
      <c r="AL112" s="18" t="str">
        <f>IF(T_MEASURES[[#This Row],[Social Services]],"Yes","No")</f>
        <v>No</v>
      </c>
      <c r="AM112" s="18"/>
      <c r="AN112" s="18" t="str">
        <f>IF(T_MEASURES[[#This Row],[Emergency Services and Police]],"Yes","No")</f>
        <v>No</v>
      </c>
      <c r="AO112" s="18"/>
      <c r="AP112" s="18" t="str">
        <f>IF(T_MEASURES[[#This Row],[Parks and gardens (Urban Green Infrastructure)]],"Yes","No")</f>
        <v>No</v>
      </c>
      <c r="AQ112" s="18"/>
      <c r="AR112" s="18" t="str">
        <f>IF(T_MEASURES[[#This Row],[Transport]],"Yes","No")</f>
        <v>No</v>
      </c>
      <c r="AS112" s="158"/>
      <c r="AT112" s="1" t="str">
        <f>IF(T_MEASURES[[#This Row],[Coordination]],"Yes","No")</f>
        <v>No</v>
      </c>
      <c r="AU112" s="2">
        <v>1</v>
      </c>
      <c r="AV112" s="1">
        <v>1</v>
      </c>
      <c r="AW112" s="1">
        <v>1</v>
      </c>
      <c r="AX112" s="1">
        <v>1</v>
      </c>
      <c r="AY112" s="3">
        <v>1</v>
      </c>
      <c r="AZ112" s="86">
        <f>SUMPRODUCT($AT$15:$AX$15,T_MEASURES[[#This Row],[&lt;5.000]:[&gt;100.000]])</f>
        <v>1</v>
      </c>
      <c r="BA112" s="1">
        <v>1</v>
      </c>
      <c r="BB112" s="1">
        <v>1</v>
      </c>
      <c r="BC112" s="1">
        <v>1</v>
      </c>
      <c r="BD112" s="1">
        <v>1</v>
      </c>
      <c r="BE112" s="1">
        <v>1</v>
      </c>
      <c r="BF112" s="1">
        <v>1</v>
      </c>
      <c r="BG112" s="1">
        <v>1</v>
      </c>
      <c r="BH112" s="86" cm="1">
        <f t="array" ref="BH112">SUMPRODUCT(--((T_MEASURES[[#This Row],[Health or social care centers]:[Schools / Educational centers]] + $AZ$15:$BF$15)&gt;0))</f>
        <v>7</v>
      </c>
      <c r="BI112" s="88">
        <v>0</v>
      </c>
      <c r="BJ112" s="88">
        <v>0</v>
      </c>
      <c r="BK112" s="88">
        <v>2</v>
      </c>
      <c r="BL112" s="88">
        <v>2</v>
      </c>
      <c r="BM112" s="88">
        <v>3</v>
      </c>
      <c r="BN112" s="88">
        <v>2</v>
      </c>
      <c r="BO112" s="88">
        <v>3</v>
      </c>
      <c r="BP112" s="88">
        <v>3</v>
      </c>
      <c r="BQ112" s="96" cm="1">
        <f t="array" ref="BQ112">T_MEASURES[[#This Row],[Apply size]]*(SUMPRODUCT(T_MEASURES[[#This Row],[C1_Urban Cooling]:[C8_Time]],TRANSPOSE('2.WEIGHTS'!$L$12:$L$19))+(ROW(C112)-ROW($C$18)+1)*0.0000000001)*100</f>
        <v>187.50000094999999</v>
      </c>
      <c r="BR112" s="21"/>
      <c r="BS112" s="38"/>
    </row>
    <row r="113" spans="1:71" ht="33.6" x14ac:dyDescent="0.3">
      <c r="A113" s="21"/>
      <c r="B113" s="38"/>
      <c r="C113" s="21"/>
      <c r="D113" s="86">
        <f>IF(T_MEASURES[[#This Row],[Weight Criterion]]&lt;=0,"",_xlfn.RANK.EQ(T_MEASURES[[#This Row],[Weight Criterion]],T_MEASURES[Weight Criterion]))</f>
        <v>20</v>
      </c>
      <c r="E113" s="152" t="s">
        <v>318</v>
      </c>
      <c r="F113" s="151" t="s">
        <v>431</v>
      </c>
      <c r="G113" s="151" t="s">
        <v>42</v>
      </c>
      <c r="H113" s="151" t="s">
        <v>126</v>
      </c>
      <c r="I113" s="151" t="s">
        <v>319</v>
      </c>
      <c r="J113" s="151"/>
      <c r="K113" s="153">
        <v>1</v>
      </c>
      <c r="L113" s="18"/>
      <c r="M113" s="18"/>
      <c r="N113" s="154" t="str">
        <f t="shared" si="3"/>
        <v>€</v>
      </c>
      <c r="O113" s="155"/>
      <c r="P113" s="155"/>
      <c r="Q113" s="19">
        <v>1</v>
      </c>
      <c r="R113" s="155">
        <v>1</v>
      </c>
      <c r="S113" s="72" t="str">
        <f>IF(T_MEASURES[[#This Row],[No risk (0)]]=1,"■","")</f>
        <v/>
      </c>
      <c r="T113" s="73" t="str">
        <f>IF(T_MEASURES[[#This Row],[Low risk (1)]]=1,"■","")</f>
        <v/>
      </c>
      <c r="U113" s="74" t="str">
        <f>IF(T_MEASURES[[#This Row],[Medium risk (2)]]=1,"■","")</f>
        <v>■</v>
      </c>
      <c r="V113" s="71" t="str">
        <f>IF(T_MEASURES[[#This Row],[High risk (3)]]=1,"■","")</f>
        <v>■</v>
      </c>
      <c r="W113" s="18" t="str">
        <f t="shared" si="4"/>
        <v>4. High (Red)</v>
      </c>
      <c r="X113" s="18">
        <f>COUNT(T_MEASURES[[#This Row],[Buildings and public facilities]:[Coordination]])</f>
        <v>4</v>
      </c>
      <c r="Y113" s="18">
        <v>1</v>
      </c>
      <c r="Z113" s="18" t="str">
        <f>IF(T_MEASURES[[#This Row],[Buildings and public facilities]]=1,"Yes","No")</f>
        <v>Yes</v>
      </c>
      <c r="AA113" s="18"/>
      <c r="AB113" s="18" t="str">
        <f>IF(T_MEASURES[[#This Row],[Urban planning]]=1,"Yes","No")</f>
        <v>No</v>
      </c>
      <c r="AC113" s="18">
        <v>1</v>
      </c>
      <c r="AD113" s="18" t="str">
        <f>IF(T_MEASURES[[#This Row],[Culture and Sports]],"Yes","No")</f>
        <v>Yes</v>
      </c>
      <c r="AE113" s="18"/>
      <c r="AF113" s="18" t="str">
        <f>IF(T_MEASURES[[#This Row],[Tourism]],"Yes","No")</f>
        <v>No</v>
      </c>
      <c r="AG113" s="18"/>
      <c r="AH113" s="18" t="str">
        <f>IF(T_MEASURES[[#This Row],[Occupational risks]],"Yes","No")</f>
        <v>No</v>
      </c>
      <c r="AI113" s="18">
        <v>1</v>
      </c>
      <c r="AJ113" s="18" t="str">
        <f>IF(T_MEASURES[[#This Row],[Education]],"Yes","No")</f>
        <v>Yes</v>
      </c>
      <c r="AK113" s="18">
        <v>1</v>
      </c>
      <c r="AL113" s="18" t="str">
        <f>IF(T_MEASURES[[#This Row],[Social Services]],"Yes","No")</f>
        <v>Yes</v>
      </c>
      <c r="AM113" s="18"/>
      <c r="AN113" s="18" t="str">
        <f>IF(T_MEASURES[[#This Row],[Emergency Services and Police]],"Yes","No")</f>
        <v>No</v>
      </c>
      <c r="AO113" s="18"/>
      <c r="AP113" s="18" t="str">
        <f>IF(T_MEASURES[[#This Row],[Parks and gardens (Urban Green Infrastructure)]],"Yes","No")</f>
        <v>No</v>
      </c>
      <c r="AQ113" s="18"/>
      <c r="AR113" s="18" t="str">
        <f>IF(T_MEASURES[[#This Row],[Transport]],"Yes","No")</f>
        <v>No</v>
      </c>
      <c r="AS113" s="158"/>
      <c r="AT113" s="1" t="str">
        <f>IF(T_MEASURES[[#This Row],[Coordination]],"Yes","No")</f>
        <v>No</v>
      </c>
      <c r="AU113" s="2">
        <v>1</v>
      </c>
      <c r="AV113" s="1">
        <v>1</v>
      </c>
      <c r="AW113" s="1">
        <v>1</v>
      </c>
      <c r="AX113" s="1">
        <v>1</v>
      </c>
      <c r="AY113" s="3">
        <v>1</v>
      </c>
      <c r="AZ113" s="86">
        <f>SUMPRODUCT($AT$15:$AX$15,T_MEASURES[[#This Row],[&lt;5.000]:[&gt;100.000]])</f>
        <v>1</v>
      </c>
      <c r="BA113" s="1">
        <v>1</v>
      </c>
      <c r="BB113" s="1">
        <v>1</v>
      </c>
      <c r="BC113" s="1">
        <v>1</v>
      </c>
      <c r="BD113" s="1">
        <v>1</v>
      </c>
      <c r="BE113" s="1">
        <v>1</v>
      </c>
      <c r="BF113" s="1">
        <v>1</v>
      </c>
      <c r="BG113" s="1">
        <v>1</v>
      </c>
      <c r="BH113" s="86" cm="1">
        <f t="array" ref="BH113">SUMPRODUCT(--((T_MEASURES[[#This Row],[Health or social care centers]:[Schools / Educational centers]] + $AZ$15:$BF$15)&gt;0))</f>
        <v>7</v>
      </c>
      <c r="BI113" s="1">
        <v>1</v>
      </c>
      <c r="BJ113" s="1">
        <v>0</v>
      </c>
      <c r="BK113" s="1">
        <v>2</v>
      </c>
      <c r="BL113" s="1">
        <v>2</v>
      </c>
      <c r="BM113" s="1">
        <v>3</v>
      </c>
      <c r="BN113" s="1">
        <v>2</v>
      </c>
      <c r="BO113" s="1">
        <v>3</v>
      </c>
      <c r="BP113" s="1">
        <v>3</v>
      </c>
      <c r="BQ113" s="96" cm="1">
        <f t="array" ref="BQ113">T_MEASURES[[#This Row],[Apply size]]*(SUMPRODUCT(T_MEASURES[[#This Row],[C1_Urban Cooling]:[C8_Time]],TRANSPOSE('2.WEIGHTS'!$L$12:$L$19))+(ROW(C113)-ROW($C$18)+1)*0.0000000001)*100</f>
        <v>200.00000095999999</v>
      </c>
      <c r="BR113" s="21"/>
      <c r="BS113" s="38"/>
    </row>
    <row r="114" spans="1:71" ht="33.6" x14ac:dyDescent="0.3">
      <c r="A114" s="21"/>
      <c r="B114" s="38"/>
      <c r="C114" s="21"/>
      <c r="D114" s="86">
        <f>IF(T_MEASURES[[#This Row],[Weight Criterion]]&lt;=0,"",_xlfn.RANK.EQ(T_MEASURES[[#This Row],[Weight Criterion]],T_MEASURES[Weight Criterion]))</f>
        <v>63</v>
      </c>
      <c r="E114" s="152" t="s">
        <v>320</v>
      </c>
      <c r="F114" s="151" t="s">
        <v>431</v>
      </c>
      <c r="G114" s="151" t="s">
        <v>42</v>
      </c>
      <c r="H114" s="151" t="s">
        <v>126</v>
      </c>
      <c r="I114" s="151" t="s">
        <v>321</v>
      </c>
      <c r="J114" s="151"/>
      <c r="K114" s="153"/>
      <c r="L114" s="18">
        <v>1</v>
      </c>
      <c r="M114" s="18"/>
      <c r="N114" s="154" t="str">
        <f t="shared" ref="N114:N145" si="5">IF(M114&lt;&gt;"","€€€", IF(L114&lt;&gt;"","€€", IF(K114&lt;&gt;"","€","-")))</f>
        <v>€€</v>
      </c>
      <c r="O114" s="155"/>
      <c r="P114" s="155"/>
      <c r="Q114" s="19">
        <v>1</v>
      </c>
      <c r="R114" s="155">
        <v>1</v>
      </c>
      <c r="S114" s="72" t="str">
        <f>IF(T_MEASURES[[#This Row],[No risk (0)]]=1,"■","")</f>
        <v/>
      </c>
      <c r="T114" s="73" t="str">
        <f>IF(T_MEASURES[[#This Row],[Low risk (1)]]=1,"■","")</f>
        <v/>
      </c>
      <c r="U114" s="74" t="str">
        <f>IF(T_MEASURES[[#This Row],[Medium risk (2)]]=1,"■","")</f>
        <v>■</v>
      </c>
      <c r="V114" s="71" t="str">
        <f>IF(T_MEASURES[[#This Row],[High risk (3)]]=1,"■","")</f>
        <v>■</v>
      </c>
      <c r="W114" s="18" t="str">
        <f t="shared" si="4"/>
        <v>4. High (Red)</v>
      </c>
      <c r="X114" s="18">
        <f>COUNT(T_MEASURES[[#This Row],[Buildings and public facilities]:[Coordination]])</f>
        <v>4</v>
      </c>
      <c r="Y114" s="18">
        <v>1</v>
      </c>
      <c r="Z114" s="18" t="str">
        <f>IF(T_MEASURES[[#This Row],[Buildings and public facilities]]=1,"Yes","No")</f>
        <v>Yes</v>
      </c>
      <c r="AA114" s="18"/>
      <c r="AB114" s="18" t="str">
        <f>IF(T_MEASURES[[#This Row],[Urban planning]]=1,"Yes","No")</f>
        <v>No</v>
      </c>
      <c r="AC114" s="18">
        <v>1</v>
      </c>
      <c r="AD114" s="18" t="str">
        <f>IF(T_MEASURES[[#This Row],[Culture and Sports]],"Yes","No")</f>
        <v>Yes</v>
      </c>
      <c r="AE114" s="18"/>
      <c r="AF114" s="18" t="str">
        <f>IF(T_MEASURES[[#This Row],[Tourism]],"Yes","No")</f>
        <v>No</v>
      </c>
      <c r="AG114" s="18"/>
      <c r="AH114" s="18" t="str">
        <f>IF(T_MEASURES[[#This Row],[Occupational risks]],"Yes","No")</f>
        <v>No</v>
      </c>
      <c r="AI114" s="18">
        <v>1</v>
      </c>
      <c r="AJ114" s="18" t="str">
        <f>IF(T_MEASURES[[#This Row],[Education]],"Yes","No")</f>
        <v>Yes</v>
      </c>
      <c r="AK114" s="18">
        <v>1</v>
      </c>
      <c r="AL114" s="18" t="str">
        <f>IF(T_MEASURES[[#This Row],[Social Services]],"Yes","No")</f>
        <v>Yes</v>
      </c>
      <c r="AM114" s="18"/>
      <c r="AN114" s="18" t="str">
        <f>IF(T_MEASURES[[#This Row],[Emergency Services and Police]],"Yes","No")</f>
        <v>No</v>
      </c>
      <c r="AO114" s="18"/>
      <c r="AP114" s="18" t="str">
        <f>IF(T_MEASURES[[#This Row],[Parks and gardens (Urban Green Infrastructure)]],"Yes","No")</f>
        <v>No</v>
      </c>
      <c r="AQ114" s="18"/>
      <c r="AR114" s="18" t="str">
        <f>IF(T_MEASURES[[#This Row],[Transport]],"Yes","No")</f>
        <v>No</v>
      </c>
      <c r="AS114" s="158"/>
      <c r="AT114" s="1" t="str">
        <f>IF(T_MEASURES[[#This Row],[Coordination]],"Yes","No")</f>
        <v>No</v>
      </c>
      <c r="AU114" s="2">
        <v>1</v>
      </c>
      <c r="AV114" s="1">
        <v>1</v>
      </c>
      <c r="AW114" s="1">
        <v>1</v>
      </c>
      <c r="AX114" s="1">
        <v>1</v>
      </c>
      <c r="AY114" s="3">
        <v>1</v>
      </c>
      <c r="AZ114" s="86">
        <f>SUMPRODUCT($AT$15:$AX$15,T_MEASURES[[#This Row],[&lt;5.000]:[&gt;100.000]])</f>
        <v>1</v>
      </c>
      <c r="BA114" s="1">
        <v>1</v>
      </c>
      <c r="BB114" s="1">
        <v>1</v>
      </c>
      <c r="BC114" s="1">
        <v>1</v>
      </c>
      <c r="BD114" s="1">
        <v>1</v>
      </c>
      <c r="BE114" s="1">
        <v>1</v>
      </c>
      <c r="BF114" s="1">
        <v>1</v>
      </c>
      <c r="BG114" s="1">
        <v>1</v>
      </c>
      <c r="BH114" s="86" cm="1">
        <f t="array" ref="BH114">SUMPRODUCT(--((T_MEASURES[[#This Row],[Health or social care centers]:[Schools / Educational centers]] + $AZ$15:$BF$15)&gt;0))</f>
        <v>7</v>
      </c>
      <c r="BI114" s="88">
        <v>1</v>
      </c>
      <c r="BJ114" s="88">
        <v>0</v>
      </c>
      <c r="BK114" s="88">
        <v>2</v>
      </c>
      <c r="BL114" s="88">
        <v>2</v>
      </c>
      <c r="BM114" s="88">
        <v>2</v>
      </c>
      <c r="BN114" s="88">
        <v>2</v>
      </c>
      <c r="BO114" s="88">
        <v>3</v>
      </c>
      <c r="BP114" s="88">
        <v>3</v>
      </c>
      <c r="BQ114" s="96" cm="1">
        <f t="array" ref="BQ114">T_MEASURES[[#This Row],[Apply size]]*(SUMPRODUCT(T_MEASURES[[#This Row],[C1_Urban Cooling]:[C8_Time]],TRANSPOSE('2.WEIGHTS'!$L$12:$L$19))+(ROW(C114)-ROW($C$18)+1)*0.0000000001)*100</f>
        <v>187.50000097</v>
      </c>
      <c r="BR114" s="21"/>
      <c r="BS114" s="38"/>
    </row>
    <row r="115" spans="1:71" ht="43.2" x14ac:dyDescent="0.3">
      <c r="A115" s="21"/>
      <c r="B115" s="38"/>
      <c r="C115" s="21"/>
      <c r="D115" s="86">
        <f>IF(T_MEASURES[[#This Row],[Weight Criterion]]&lt;=0,"",_xlfn.RANK.EQ(T_MEASURES[[#This Row],[Weight Criterion]],T_MEASURES[Weight Criterion]))</f>
        <v>62</v>
      </c>
      <c r="E115" s="152" t="s">
        <v>322</v>
      </c>
      <c r="F115" s="151" t="s">
        <v>431</v>
      </c>
      <c r="G115" s="151" t="s">
        <v>42</v>
      </c>
      <c r="H115" s="151" t="s">
        <v>126</v>
      </c>
      <c r="I115" s="151" t="s">
        <v>323</v>
      </c>
      <c r="J115" s="151"/>
      <c r="K115" s="153">
        <v>1</v>
      </c>
      <c r="L115" s="18"/>
      <c r="M115" s="18"/>
      <c r="N115" s="154" t="str">
        <f t="shared" si="5"/>
        <v>€</v>
      </c>
      <c r="O115" s="155"/>
      <c r="P115" s="155">
        <v>1</v>
      </c>
      <c r="Q115" s="19">
        <v>1</v>
      </c>
      <c r="R115" s="155">
        <v>1</v>
      </c>
      <c r="S115" s="72" t="str">
        <f>IF(T_MEASURES[[#This Row],[No risk (0)]]=1,"■","")</f>
        <v/>
      </c>
      <c r="T115" s="73" t="str">
        <f>IF(T_MEASURES[[#This Row],[Low risk (1)]]=1,"■","")</f>
        <v>■</v>
      </c>
      <c r="U115" s="74" t="str">
        <f>IF(T_MEASURES[[#This Row],[Medium risk (2)]]=1,"■","")</f>
        <v>■</v>
      </c>
      <c r="V115" s="71" t="str">
        <f>IF(T_MEASURES[[#This Row],[High risk (3)]]=1,"■","")</f>
        <v>■</v>
      </c>
      <c r="W115" s="18" t="str">
        <f t="shared" si="4"/>
        <v>4. High (Red)</v>
      </c>
      <c r="X115" s="18">
        <f>COUNT(T_MEASURES[[#This Row],[Buildings and public facilities]:[Coordination]])</f>
        <v>4</v>
      </c>
      <c r="Y115" s="18">
        <v>1</v>
      </c>
      <c r="Z115" s="18" t="str">
        <f>IF(T_MEASURES[[#This Row],[Buildings and public facilities]]=1,"Yes","No")</f>
        <v>Yes</v>
      </c>
      <c r="AA115" s="18"/>
      <c r="AB115" s="18" t="str">
        <f>IF(T_MEASURES[[#This Row],[Urban planning]]=1,"Yes","No")</f>
        <v>No</v>
      </c>
      <c r="AC115" s="18">
        <v>1</v>
      </c>
      <c r="AD115" s="18" t="str">
        <f>IF(T_MEASURES[[#This Row],[Culture and Sports]],"Yes","No")</f>
        <v>Yes</v>
      </c>
      <c r="AE115" s="18"/>
      <c r="AF115" s="18" t="str">
        <f>IF(T_MEASURES[[#This Row],[Tourism]],"Yes","No")</f>
        <v>No</v>
      </c>
      <c r="AG115" s="18"/>
      <c r="AH115" s="18" t="str">
        <f>IF(T_MEASURES[[#This Row],[Occupational risks]],"Yes","No")</f>
        <v>No</v>
      </c>
      <c r="AI115" s="18">
        <v>1</v>
      </c>
      <c r="AJ115" s="18" t="str">
        <f>IF(T_MEASURES[[#This Row],[Education]],"Yes","No")</f>
        <v>Yes</v>
      </c>
      <c r="AK115" s="18">
        <v>1</v>
      </c>
      <c r="AL115" s="18" t="str">
        <f>IF(T_MEASURES[[#This Row],[Social Services]],"Yes","No")</f>
        <v>Yes</v>
      </c>
      <c r="AM115" s="18"/>
      <c r="AN115" s="18" t="str">
        <f>IF(T_MEASURES[[#This Row],[Emergency Services and Police]],"Yes","No")</f>
        <v>No</v>
      </c>
      <c r="AO115" s="18"/>
      <c r="AP115" s="18" t="str">
        <f>IF(T_MEASURES[[#This Row],[Parks and gardens (Urban Green Infrastructure)]],"Yes","No")</f>
        <v>No</v>
      </c>
      <c r="AQ115" s="18"/>
      <c r="AR115" s="18" t="str">
        <f>IF(T_MEASURES[[#This Row],[Transport]],"Yes","No")</f>
        <v>No</v>
      </c>
      <c r="AS115" s="158"/>
      <c r="AT115" s="1" t="str">
        <f>IF(T_MEASURES[[#This Row],[Coordination]],"Yes","No")</f>
        <v>No</v>
      </c>
      <c r="AU115" s="2">
        <v>1</v>
      </c>
      <c r="AV115" s="1">
        <v>1</v>
      </c>
      <c r="AW115" s="1">
        <v>1</v>
      </c>
      <c r="AX115" s="1">
        <v>1</v>
      </c>
      <c r="AY115" s="3">
        <v>1</v>
      </c>
      <c r="AZ115" s="86">
        <f>SUMPRODUCT($AT$15:$AX$15,T_MEASURES[[#This Row],[&lt;5.000]:[&gt;100.000]])</f>
        <v>1</v>
      </c>
      <c r="BA115" s="1">
        <v>1</v>
      </c>
      <c r="BB115" s="1">
        <v>1</v>
      </c>
      <c r="BC115" s="1">
        <v>1</v>
      </c>
      <c r="BD115" s="1">
        <v>1</v>
      </c>
      <c r="BE115" s="1">
        <v>1</v>
      </c>
      <c r="BF115" s="1">
        <v>1</v>
      </c>
      <c r="BG115" s="1">
        <v>1</v>
      </c>
      <c r="BH115" s="86" cm="1">
        <f t="array" ref="BH115">SUMPRODUCT(--((T_MEASURES[[#This Row],[Health or social care centers]:[Schools / Educational centers]] + $AZ$15:$BF$15)&gt;0))</f>
        <v>7</v>
      </c>
      <c r="BI115" s="1">
        <v>1</v>
      </c>
      <c r="BJ115" s="1">
        <v>0</v>
      </c>
      <c r="BK115" s="1">
        <v>2</v>
      </c>
      <c r="BL115" s="1">
        <v>2</v>
      </c>
      <c r="BM115" s="1">
        <v>2</v>
      </c>
      <c r="BN115" s="1">
        <v>2</v>
      </c>
      <c r="BO115" s="1">
        <v>3</v>
      </c>
      <c r="BP115" s="1">
        <v>3</v>
      </c>
      <c r="BQ115" s="96" cm="1">
        <f t="array" ref="BQ115">T_MEASURES[[#This Row],[Apply size]]*(SUMPRODUCT(T_MEASURES[[#This Row],[C1_Urban Cooling]:[C8_Time]],TRANSPOSE('2.WEIGHTS'!$L$12:$L$19))+(ROW(C115)-ROW($C$18)+1)*0.0000000001)*100</f>
        <v>187.50000097999998</v>
      </c>
      <c r="BR115" s="21"/>
      <c r="BS115" s="38"/>
    </row>
    <row r="116" spans="1:71" ht="33.6" x14ac:dyDescent="0.3">
      <c r="A116" s="21"/>
      <c r="B116" s="38"/>
      <c r="C116" s="21"/>
      <c r="D116" s="86">
        <f>IF(T_MEASURES[[#This Row],[Weight Criterion]]&lt;=0,"",_xlfn.RANK.EQ(T_MEASURES[[#This Row],[Weight Criterion]],T_MEASURES[Weight Criterion]))</f>
        <v>86</v>
      </c>
      <c r="E116" s="152" t="s">
        <v>324</v>
      </c>
      <c r="F116" s="151" t="s">
        <v>431</v>
      </c>
      <c r="G116" s="151" t="s">
        <v>42</v>
      </c>
      <c r="H116" s="151" t="s">
        <v>126</v>
      </c>
      <c r="I116" s="151" t="s">
        <v>325</v>
      </c>
      <c r="J116" s="151"/>
      <c r="K116" s="153">
        <v>1</v>
      </c>
      <c r="L116" s="18">
        <v>1</v>
      </c>
      <c r="M116" s="18"/>
      <c r="N116" s="154" t="str">
        <f t="shared" si="5"/>
        <v>€€</v>
      </c>
      <c r="O116" s="155"/>
      <c r="P116" s="155"/>
      <c r="Q116" s="19">
        <v>1</v>
      </c>
      <c r="R116" s="155">
        <v>1</v>
      </c>
      <c r="S116" s="72" t="str">
        <f>IF(T_MEASURES[[#This Row],[No risk (0)]]=1,"■","")</f>
        <v/>
      </c>
      <c r="T116" s="73" t="str">
        <f>IF(T_MEASURES[[#This Row],[Low risk (1)]]=1,"■","")</f>
        <v/>
      </c>
      <c r="U116" s="74" t="str">
        <f>IF(T_MEASURES[[#This Row],[Medium risk (2)]]=1,"■","")</f>
        <v>■</v>
      </c>
      <c r="V116" s="71" t="str">
        <f>IF(T_MEASURES[[#This Row],[High risk (3)]]=1,"■","")</f>
        <v>■</v>
      </c>
      <c r="W116" s="18" t="str">
        <f t="shared" si="4"/>
        <v>4. High (Red)</v>
      </c>
      <c r="X116" s="18">
        <f>COUNT(T_MEASURES[[#This Row],[Buildings and public facilities]:[Coordination]])</f>
        <v>2</v>
      </c>
      <c r="Y116" s="18"/>
      <c r="Z116" s="18" t="str">
        <f>IF(T_MEASURES[[#This Row],[Buildings and public facilities]]=1,"Yes","No")</f>
        <v>No</v>
      </c>
      <c r="AA116" s="18"/>
      <c r="AB116" s="18" t="str">
        <f>IF(T_MEASURES[[#This Row],[Urban planning]]=1,"Yes","No")</f>
        <v>No</v>
      </c>
      <c r="AC116" s="18"/>
      <c r="AD116" s="18" t="str">
        <f>IF(T_MEASURES[[#This Row],[Culture and Sports]],"Yes","No")</f>
        <v>No</v>
      </c>
      <c r="AE116" s="18"/>
      <c r="AF116" s="18" t="str">
        <f>IF(T_MEASURES[[#This Row],[Tourism]],"Yes","No")</f>
        <v>No</v>
      </c>
      <c r="AG116" s="18"/>
      <c r="AH116" s="18" t="str">
        <f>IF(T_MEASURES[[#This Row],[Occupational risks]],"Yes","No")</f>
        <v>No</v>
      </c>
      <c r="AI116" s="18"/>
      <c r="AJ116" s="18" t="str">
        <f>IF(T_MEASURES[[#This Row],[Education]],"Yes","No")</f>
        <v>No</v>
      </c>
      <c r="AK116" s="18"/>
      <c r="AL116" s="18" t="str">
        <f>IF(T_MEASURES[[#This Row],[Social Services]],"Yes","No")</f>
        <v>No</v>
      </c>
      <c r="AM116" s="18">
        <v>1</v>
      </c>
      <c r="AN116" s="18" t="str">
        <f>IF(T_MEASURES[[#This Row],[Emergency Services and Police]],"Yes","No")</f>
        <v>Yes</v>
      </c>
      <c r="AO116" s="18"/>
      <c r="AP116" s="18" t="str">
        <f>IF(T_MEASURES[[#This Row],[Parks and gardens (Urban Green Infrastructure)]],"Yes","No")</f>
        <v>No</v>
      </c>
      <c r="AQ116" s="18"/>
      <c r="AR116" s="18" t="str">
        <f>IF(T_MEASURES[[#This Row],[Transport]],"Yes","No")</f>
        <v>No</v>
      </c>
      <c r="AS116" s="158">
        <v>1</v>
      </c>
      <c r="AT116" s="1" t="str">
        <f>IF(T_MEASURES[[#This Row],[Coordination]],"Yes","No")</f>
        <v>Yes</v>
      </c>
      <c r="AU116" s="2">
        <v>1</v>
      </c>
      <c r="AV116" s="1">
        <v>1</v>
      </c>
      <c r="AW116" s="1">
        <v>1</v>
      </c>
      <c r="AX116" s="1">
        <v>1</v>
      </c>
      <c r="AY116" s="3">
        <v>1</v>
      </c>
      <c r="AZ116" s="86">
        <f>SUMPRODUCT($AT$15:$AX$15,T_MEASURES[[#This Row],[&lt;5.000]:[&gt;100.000]])</f>
        <v>1</v>
      </c>
      <c r="BA116" s="1">
        <v>1</v>
      </c>
      <c r="BB116" s="1">
        <v>1</v>
      </c>
      <c r="BC116" s="1">
        <v>1</v>
      </c>
      <c r="BD116" s="1">
        <v>1</v>
      </c>
      <c r="BE116" s="1">
        <v>1</v>
      </c>
      <c r="BF116" s="1">
        <v>1</v>
      </c>
      <c r="BG116" s="1">
        <v>1</v>
      </c>
      <c r="BH116" s="86" cm="1">
        <f t="array" ref="BH116">SUMPRODUCT(--((T_MEASURES[[#This Row],[Health or social care centers]:[Schools / Educational centers]] + $AZ$15:$BF$15)&gt;0))</f>
        <v>7</v>
      </c>
      <c r="BI116" s="88">
        <v>0</v>
      </c>
      <c r="BJ116" s="88">
        <v>0</v>
      </c>
      <c r="BK116" s="88">
        <v>3</v>
      </c>
      <c r="BL116" s="88">
        <v>3</v>
      </c>
      <c r="BM116" s="88">
        <v>2</v>
      </c>
      <c r="BN116" s="88">
        <v>2</v>
      </c>
      <c r="BO116" s="88">
        <v>2</v>
      </c>
      <c r="BP116" s="88">
        <v>2</v>
      </c>
      <c r="BQ116" s="96" cm="1">
        <f t="array" ref="BQ116">T_MEASURES[[#This Row],[Apply size]]*(SUMPRODUCT(T_MEASURES[[#This Row],[C1_Urban Cooling]:[C8_Time]],TRANSPOSE('2.WEIGHTS'!$L$12:$L$19))+(ROW(C116)-ROW($C$18)+1)*0.0000000001)*100</f>
        <v>175.00000098999999</v>
      </c>
      <c r="BR116" s="21"/>
      <c r="BS116" s="38"/>
    </row>
    <row r="117" spans="1:71" ht="33.6" x14ac:dyDescent="0.3">
      <c r="A117" s="21"/>
      <c r="B117" s="38"/>
      <c r="C117" s="21"/>
      <c r="D117" s="86">
        <f>IF(T_MEASURES[[#This Row],[Weight Criterion]]&lt;=0,"",_xlfn.RANK.EQ(T_MEASURES[[#This Row],[Weight Criterion]],T_MEASURES[Weight Criterion]))</f>
        <v>19</v>
      </c>
      <c r="E117" s="152" t="s">
        <v>326</v>
      </c>
      <c r="F117" s="151" t="s">
        <v>431</v>
      </c>
      <c r="G117" s="151" t="s">
        <v>42</v>
      </c>
      <c r="H117" s="151" t="s">
        <v>126</v>
      </c>
      <c r="I117" s="151" t="s">
        <v>327</v>
      </c>
      <c r="J117" s="151"/>
      <c r="K117" s="153">
        <v>1</v>
      </c>
      <c r="L117" s="18"/>
      <c r="M117" s="18"/>
      <c r="N117" s="154" t="str">
        <f t="shared" si="5"/>
        <v>€</v>
      </c>
      <c r="O117" s="155"/>
      <c r="P117" s="155">
        <v>1</v>
      </c>
      <c r="Q117" s="19">
        <v>1</v>
      </c>
      <c r="R117" s="155">
        <v>1</v>
      </c>
      <c r="S117" s="72" t="str">
        <f>IF(T_MEASURES[[#This Row],[No risk (0)]]=1,"■","")</f>
        <v/>
      </c>
      <c r="T117" s="73" t="str">
        <f>IF(T_MEASURES[[#This Row],[Low risk (1)]]=1,"■","")</f>
        <v>■</v>
      </c>
      <c r="U117" s="74" t="str">
        <f>IF(T_MEASURES[[#This Row],[Medium risk (2)]]=1,"■","")</f>
        <v>■</v>
      </c>
      <c r="V117" s="71" t="str">
        <f>IF(T_MEASURES[[#This Row],[High risk (3)]]=1,"■","")</f>
        <v>■</v>
      </c>
      <c r="W117" s="18" t="str">
        <f t="shared" si="4"/>
        <v>4. High (Red)</v>
      </c>
      <c r="X117" s="18">
        <f>COUNT(T_MEASURES[[#This Row],[Buildings and public facilities]:[Coordination]])</f>
        <v>1</v>
      </c>
      <c r="Y117" s="18"/>
      <c r="Z117" s="18" t="str">
        <f>IF(T_MEASURES[[#This Row],[Buildings and public facilities]]=1,"Yes","No")</f>
        <v>No</v>
      </c>
      <c r="AA117" s="18"/>
      <c r="AB117" s="18" t="str">
        <f>IF(T_MEASURES[[#This Row],[Urban planning]]=1,"Yes","No")</f>
        <v>No</v>
      </c>
      <c r="AC117" s="18"/>
      <c r="AD117" s="18" t="str">
        <f>IF(T_MEASURES[[#This Row],[Culture and Sports]],"Yes","No")</f>
        <v>No</v>
      </c>
      <c r="AE117" s="18"/>
      <c r="AF117" s="18" t="str">
        <f>IF(T_MEASURES[[#This Row],[Tourism]],"Yes","No")</f>
        <v>No</v>
      </c>
      <c r="AG117" s="18"/>
      <c r="AH117" s="18" t="str">
        <f>IF(T_MEASURES[[#This Row],[Occupational risks]],"Yes","No")</f>
        <v>No</v>
      </c>
      <c r="AI117" s="18"/>
      <c r="AJ117" s="18" t="str">
        <f>IF(T_MEASURES[[#This Row],[Education]],"Yes","No")</f>
        <v>No</v>
      </c>
      <c r="AK117" s="18">
        <v>1</v>
      </c>
      <c r="AL117" s="18" t="str">
        <f>IF(T_MEASURES[[#This Row],[Social Services]],"Yes","No")</f>
        <v>Yes</v>
      </c>
      <c r="AM117" s="18"/>
      <c r="AN117" s="18" t="str">
        <f>IF(T_MEASURES[[#This Row],[Emergency Services and Police]],"Yes","No")</f>
        <v>No</v>
      </c>
      <c r="AO117" s="18"/>
      <c r="AP117" s="18" t="str">
        <f>IF(T_MEASURES[[#This Row],[Parks and gardens (Urban Green Infrastructure)]],"Yes","No")</f>
        <v>No</v>
      </c>
      <c r="AQ117" s="18"/>
      <c r="AR117" s="18" t="str">
        <f>IF(T_MEASURES[[#This Row],[Transport]],"Yes","No")</f>
        <v>No</v>
      </c>
      <c r="AS117" s="158"/>
      <c r="AT117" s="1" t="str">
        <f>IF(T_MEASURES[[#This Row],[Coordination]],"Yes","No")</f>
        <v>No</v>
      </c>
      <c r="AU117" s="2">
        <v>1</v>
      </c>
      <c r="AV117" s="1">
        <v>1</v>
      </c>
      <c r="AW117" s="1">
        <v>1</v>
      </c>
      <c r="AX117" s="1">
        <v>1</v>
      </c>
      <c r="AY117" s="3">
        <v>1</v>
      </c>
      <c r="AZ117" s="86">
        <f>SUMPRODUCT($AT$15:$AX$15,T_MEASURES[[#This Row],[&lt;5.000]:[&gt;100.000]])</f>
        <v>1</v>
      </c>
      <c r="BA117" s="1">
        <v>1</v>
      </c>
      <c r="BB117" s="1">
        <v>1</v>
      </c>
      <c r="BC117" s="1">
        <v>1</v>
      </c>
      <c r="BD117" s="1">
        <v>1</v>
      </c>
      <c r="BE117" s="1">
        <v>1</v>
      </c>
      <c r="BF117" s="1">
        <v>1</v>
      </c>
      <c r="BG117" s="1">
        <v>1</v>
      </c>
      <c r="BH117" s="86" cm="1">
        <f t="array" ref="BH117">SUMPRODUCT(--((T_MEASURES[[#This Row],[Health or social care centers]:[Schools / Educational centers]] + $AZ$15:$BF$15)&gt;0))</f>
        <v>7</v>
      </c>
      <c r="BI117" s="1">
        <v>0</v>
      </c>
      <c r="BJ117" s="1">
        <v>0</v>
      </c>
      <c r="BK117" s="1">
        <v>3</v>
      </c>
      <c r="BL117" s="1">
        <v>2</v>
      </c>
      <c r="BM117" s="1">
        <v>3</v>
      </c>
      <c r="BN117" s="1">
        <v>2</v>
      </c>
      <c r="BO117" s="1">
        <v>3</v>
      </c>
      <c r="BP117" s="1">
        <v>3</v>
      </c>
      <c r="BQ117" s="96" cm="1">
        <f t="array" ref="BQ117">T_MEASURES[[#This Row],[Apply size]]*(SUMPRODUCT(T_MEASURES[[#This Row],[C1_Urban Cooling]:[C8_Time]],TRANSPOSE('2.WEIGHTS'!$L$12:$L$19))+(ROW(C117)-ROW($C$18)+1)*0.0000000001)*100</f>
        <v>200.000001</v>
      </c>
      <c r="BR117" s="21"/>
      <c r="BS117" s="38"/>
    </row>
    <row r="118" spans="1:71" ht="33.6" x14ac:dyDescent="0.3">
      <c r="A118" s="21"/>
      <c r="B118" s="38"/>
      <c r="C118" s="21"/>
      <c r="D118" s="86">
        <f>IF(T_MEASURES[[#This Row],[Weight Criterion]]&lt;=0,"",_xlfn.RANK.EQ(T_MEASURES[[#This Row],[Weight Criterion]],T_MEASURES[Weight Criterion]))</f>
        <v>18</v>
      </c>
      <c r="E118" s="152" t="s">
        <v>328</v>
      </c>
      <c r="F118" s="151" t="s">
        <v>431</v>
      </c>
      <c r="G118" s="151" t="s">
        <v>44</v>
      </c>
      <c r="H118" s="151" t="s">
        <v>245</v>
      </c>
      <c r="I118" s="151" t="s">
        <v>329</v>
      </c>
      <c r="J118" s="151"/>
      <c r="K118" s="153">
        <v>1</v>
      </c>
      <c r="L118" s="18"/>
      <c r="M118" s="18"/>
      <c r="N118" s="154" t="str">
        <f t="shared" si="5"/>
        <v>€</v>
      </c>
      <c r="O118" s="155"/>
      <c r="P118" s="155"/>
      <c r="Q118" s="19">
        <v>1</v>
      </c>
      <c r="R118" s="155">
        <v>1</v>
      </c>
      <c r="S118" s="72" t="str">
        <f>IF(T_MEASURES[[#This Row],[No risk (0)]]=1,"■","")</f>
        <v/>
      </c>
      <c r="T118" s="73" t="str">
        <f>IF(T_MEASURES[[#This Row],[Low risk (1)]]=1,"■","")</f>
        <v/>
      </c>
      <c r="U118" s="74" t="str">
        <f>IF(T_MEASURES[[#This Row],[Medium risk (2)]]=1,"■","")</f>
        <v>■</v>
      </c>
      <c r="V118" s="71" t="str">
        <f>IF(T_MEASURES[[#This Row],[High risk (3)]]=1,"■","")</f>
        <v>■</v>
      </c>
      <c r="W118" s="18" t="str">
        <f t="shared" si="4"/>
        <v>4. High (Red)</v>
      </c>
      <c r="X118" s="18">
        <f>COUNT(T_MEASURES[[#This Row],[Buildings and public facilities]:[Coordination]])</f>
        <v>1</v>
      </c>
      <c r="Y118" s="18"/>
      <c r="Z118" s="18" t="str">
        <f>IF(T_MEASURES[[#This Row],[Buildings and public facilities]]=1,"Yes","No")</f>
        <v>No</v>
      </c>
      <c r="AA118" s="18">
        <v>1</v>
      </c>
      <c r="AB118" s="18" t="str">
        <f>IF(T_MEASURES[[#This Row],[Urban planning]]=1,"Yes","No")</f>
        <v>Yes</v>
      </c>
      <c r="AC118" s="18"/>
      <c r="AD118" s="18" t="str">
        <f>IF(T_MEASURES[[#This Row],[Culture and Sports]],"Yes","No")</f>
        <v>No</v>
      </c>
      <c r="AE118" s="18"/>
      <c r="AF118" s="18" t="str">
        <f>IF(T_MEASURES[[#This Row],[Tourism]],"Yes","No")</f>
        <v>No</v>
      </c>
      <c r="AG118" s="18"/>
      <c r="AH118" s="18" t="str">
        <f>IF(T_MEASURES[[#This Row],[Occupational risks]],"Yes","No")</f>
        <v>No</v>
      </c>
      <c r="AI118" s="18"/>
      <c r="AJ118" s="18" t="str">
        <f>IF(T_MEASURES[[#This Row],[Education]],"Yes","No")</f>
        <v>No</v>
      </c>
      <c r="AK118" s="18"/>
      <c r="AL118" s="18" t="str">
        <f>IF(T_MEASURES[[#This Row],[Social Services]],"Yes","No")</f>
        <v>No</v>
      </c>
      <c r="AM118" s="18"/>
      <c r="AN118" s="18" t="str">
        <f>IF(T_MEASURES[[#This Row],[Emergency Services and Police]],"Yes","No")</f>
        <v>No</v>
      </c>
      <c r="AO118" s="18"/>
      <c r="AP118" s="18" t="str">
        <f>IF(T_MEASURES[[#This Row],[Parks and gardens (Urban Green Infrastructure)]],"Yes","No")</f>
        <v>No</v>
      </c>
      <c r="AQ118" s="18"/>
      <c r="AR118" s="18" t="str">
        <f>IF(T_MEASURES[[#This Row],[Transport]],"Yes","No")</f>
        <v>No</v>
      </c>
      <c r="AS118" s="158"/>
      <c r="AT118" s="1" t="str">
        <f>IF(T_MEASURES[[#This Row],[Coordination]],"Yes","No")</f>
        <v>No</v>
      </c>
      <c r="AU118" s="2">
        <v>1</v>
      </c>
      <c r="AV118" s="1">
        <v>1</v>
      </c>
      <c r="AW118" s="1">
        <v>1</v>
      </c>
      <c r="AX118" s="1">
        <v>1</v>
      </c>
      <c r="AY118" s="3">
        <v>1</v>
      </c>
      <c r="AZ118" s="86">
        <f>SUMPRODUCT($AT$15:$AX$15,T_MEASURES[[#This Row],[&lt;5.000]:[&gt;100.000]])</f>
        <v>1</v>
      </c>
      <c r="BA118" s="1">
        <v>1</v>
      </c>
      <c r="BB118" s="1">
        <v>1</v>
      </c>
      <c r="BC118" s="1">
        <v>1</v>
      </c>
      <c r="BD118" s="1">
        <v>1</v>
      </c>
      <c r="BE118" s="1">
        <v>1</v>
      </c>
      <c r="BF118" s="1">
        <v>1</v>
      </c>
      <c r="BG118" s="1">
        <v>1</v>
      </c>
      <c r="BH118" s="86" cm="1">
        <f t="array" ref="BH118">SUMPRODUCT(--((T_MEASURES[[#This Row],[Health or social care centers]:[Schools / Educational centers]] + $AZ$15:$BF$15)&gt;0))</f>
        <v>7</v>
      </c>
      <c r="BI118" s="88">
        <v>0</v>
      </c>
      <c r="BJ118" s="88">
        <v>0</v>
      </c>
      <c r="BK118" s="88">
        <v>3</v>
      </c>
      <c r="BL118" s="88">
        <v>2</v>
      </c>
      <c r="BM118" s="88">
        <v>3</v>
      </c>
      <c r="BN118" s="88">
        <v>2</v>
      </c>
      <c r="BO118" s="88">
        <v>3</v>
      </c>
      <c r="BP118" s="88">
        <v>3</v>
      </c>
      <c r="BQ118" s="96" cm="1">
        <f t="array" ref="BQ118">T_MEASURES[[#This Row],[Apply size]]*(SUMPRODUCT(T_MEASURES[[#This Row],[C1_Urban Cooling]:[C8_Time]],TRANSPOSE('2.WEIGHTS'!$L$12:$L$19))+(ROW(C118)-ROW($C$18)+1)*0.0000000001)*100</f>
        <v>200.00000101000001</v>
      </c>
      <c r="BR118" s="21"/>
      <c r="BS118" s="38"/>
    </row>
    <row r="119" spans="1:71" ht="43.2" x14ac:dyDescent="0.3">
      <c r="A119" s="21"/>
      <c r="B119" s="38"/>
      <c r="C119" s="21"/>
      <c r="D119" s="86">
        <f>IF(T_MEASURES[[#This Row],[Weight Criterion]]&lt;=0,"",_xlfn.RANK.EQ(T_MEASURES[[#This Row],[Weight Criterion]],T_MEASURES[Weight Criterion]))</f>
        <v>85</v>
      </c>
      <c r="E119" s="152" t="s">
        <v>330</v>
      </c>
      <c r="F119" s="151" t="s">
        <v>431</v>
      </c>
      <c r="G119" s="151" t="s">
        <v>41</v>
      </c>
      <c r="H119" s="151" t="s">
        <v>132</v>
      </c>
      <c r="I119" s="151" t="s">
        <v>331</v>
      </c>
      <c r="J119" s="151"/>
      <c r="K119" s="153">
        <v>1</v>
      </c>
      <c r="L119" s="18"/>
      <c r="M119" s="18"/>
      <c r="N119" s="154" t="str">
        <f t="shared" si="5"/>
        <v>€</v>
      </c>
      <c r="O119" s="155"/>
      <c r="P119" s="155"/>
      <c r="Q119" s="19">
        <v>1</v>
      </c>
      <c r="R119" s="155">
        <v>1</v>
      </c>
      <c r="S119" s="72" t="str">
        <f>IF(T_MEASURES[[#This Row],[No risk (0)]]=1,"■","")</f>
        <v/>
      </c>
      <c r="T119" s="73" t="str">
        <f>IF(T_MEASURES[[#This Row],[Low risk (1)]]=1,"■","")</f>
        <v/>
      </c>
      <c r="U119" s="74" t="str">
        <f>IF(T_MEASURES[[#This Row],[Medium risk (2)]]=1,"■","")</f>
        <v>■</v>
      </c>
      <c r="V119" s="71" t="str">
        <f>IF(T_MEASURES[[#This Row],[High risk (3)]]=1,"■","")</f>
        <v>■</v>
      </c>
      <c r="W119" s="18" t="str">
        <f t="shared" si="4"/>
        <v>4. High (Red)</v>
      </c>
      <c r="X119" s="18">
        <f>COUNT(T_MEASURES[[#This Row],[Buildings and public facilities]:[Coordination]])</f>
        <v>1</v>
      </c>
      <c r="Y119" s="18"/>
      <c r="Z119" s="18" t="str">
        <f>IF(T_MEASURES[[#This Row],[Buildings and public facilities]]=1,"Yes","No")</f>
        <v>No</v>
      </c>
      <c r="AA119" s="18">
        <v>1</v>
      </c>
      <c r="AB119" s="18" t="str">
        <f>IF(T_MEASURES[[#This Row],[Urban planning]]=1,"Yes","No")</f>
        <v>Yes</v>
      </c>
      <c r="AC119" s="18"/>
      <c r="AD119" s="18" t="str">
        <f>IF(T_MEASURES[[#This Row],[Culture and Sports]],"Yes","No")</f>
        <v>No</v>
      </c>
      <c r="AE119" s="18"/>
      <c r="AF119" s="18" t="str">
        <f>IF(T_MEASURES[[#This Row],[Tourism]],"Yes","No")</f>
        <v>No</v>
      </c>
      <c r="AG119" s="18"/>
      <c r="AH119" s="18" t="str">
        <f>IF(T_MEASURES[[#This Row],[Occupational risks]],"Yes","No")</f>
        <v>No</v>
      </c>
      <c r="AI119" s="18"/>
      <c r="AJ119" s="18" t="str">
        <f>IF(T_MEASURES[[#This Row],[Education]],"Yes","No")</f>
        <v>No</v>
      </c>
      <c r="AK119" s="18"/>
      <c r="AL119" s="18" t="str">
        <f>IF(T_MEASURES[[#This Row],[Social Services]],"Yes","No")</f>
        <v>No</v>
      </c>
      <c r="AM119" s="18"/>
      <c r="AN119" s="18" t="str">
        <f>IF(T_MEASURES[[#This Row],[Emergency Services and Police]],"Yes","No")</f>
        <v>No</v>
      </c>
      <c r="AO119" s="18"/>
      <c r="AP119" s="18" t="str">
        <f>IF(T_MEASURES[[#This Row],[Parks and gardens (Urban Green Infrastructure)]],"Yes","No")</f>
        <v>No</v>
      </c>
      <c r="AQ119" s="18"/>
      <c r="AR119" s="18" t="str">
        <f>IF(T_MEASURES[[#This Row],[Transport]],"Yes","No")</f>
        <v>No</v>
      </c>
      <c r="AS119" s="158"/>
      <c r="AT119" s="1" t="str">
        <f>IF(T_MEASURES[[#This Row],[Coordination]],"Yes","No")</f>
        <v>No</v>
      </c>
      <c r="AU119" s="2">
        <v>1</v>
      </c>
      <c r="AV119" s="1">
        <v>1</v>
      </c>
      <c r="AW119" s="1">
        <v>1</v>
      </c>
      <c r="AX119" s="1">
        <v>1</v>
      </c>
      <c r="AY119" s="3">
        <v>1</v>
      </c>
      <c r="AZ119" s="86">
        <f>SUMPRODUCT($AT$15:$AX$15,T_MEASURES[[#This Row],[&lt;5.000]:[&gt;100.000]])</f>
        <v>1</v>
      </c>
      <c r="BA119" s="1">
        <v>1</v>
      </c>
      <c r="BB119" s="1">
        <v>1</v>
      </c>
      <c r="BC119" s="1">
        <v>1</v>
      </c>
      <c r="BD119" s="1">
        <v>1</v>
      </c>
      <c r="BE119" s="1">
        <v>1</v>
      </c>
      <c r="BF119" s="1">
        <v>1</v>
      </c>
      <c r="BG119" s="1">
        <v>1</v>
      </c>
      <c r="BH119" s="86" cm="1">
        <f t="array" ref="BH119">SUMPRODUCT(--((T_MEASURES[[#This Row],[Health or social care centers]:[Schools / Educational centers]] + $AZ$15:$BF$15)&gt;0))</f>
        <v>7</v>
      </c>
      <c r="BI119" s="1">
        <v>0</v>
      </c>
      <c r="BJ119" s="1">
        <v>0</v>
      </c>
      <c r="BK119" s="1">
        <v>2</v>
      </c>
      <c r="BL119" s="1">
        <v>2</v>
      </c>
      <c r="BM119" s="1">
        <v>2</v>
      </c>
      <c r="BN119" s="1">
        <v>2</v>
      </c>
      <c r="BO119" s="1">
        <v>3</v>
      </c>
      <c r="BP119" s="1">
        <v>3</v>
      </c>
      <c r="BQ119" s="96" cm="1">
        <f t="array" ref="BQ119">T_MEASURES[[#This Row],[Apply size]]*(SUMPRODUCT(T_MEASURES[[#This Row],[C1_Urban Cooling]:[C8_Time]],TRANSPOSE('2.WEIGHTS'!$L$12:$L$19))+(ROW(C119)-ROW($C$18)+1)*0.0000000001)*100</f>
        <v>175.00000101999998</v>
      </c>
      <c r="BR119" s="21"/>
      <c r="BS119" s="38"/>
    </row>
    <row r="120" spans="1:71" ht="33.6" x14ac:dyDescent="0.3">
      <c r="A120" s="21"/>
      <c r="B120" s="38"/>
      <c r="C120" s="21"/>
      <c r="D120" s="86">
        <f>IF(T_MEASURES[[#This Row],[Weight Criterion]]&lt;=0,"",_xlfn.RANK.EQ(T_MEASURES[[#This Row],[Weight Criterion]],T_MEASURES[Weight Criterion]))</f>
        <v>61</v>
      </c>
      <c r="E120" s="152" t="s">
        <v>332</v>
      </c>
      <c r="F120" s="151" t="s">
        <v>431</v>
      </c>
      <c r="G120" s="151" t="s">
        <v>42</v>
      </c>
      <c r="H120" s="151" t="s">
        <v>135</v>
      </c>
      <c r="I120" s="151" t="s">
        <v>333</v>
      </c>
      <c r="J120" s="151"/>
      <c r="K120" s="153">
        <v>1</v>
      </c>
      <c r="L120" s="18"/>
      <c r="M120" s="18"/>
      <c r="N120" s="154" t="str">
        <f t="shared" si="5"/>
        <v>€</v>
      </c>
      <c r="O120" s="155"/>
      <c r="P120" s="155">
        <v>1</v>
      </c>
      <c r="Q120" s="19">
        <v>1</v>
      </c>
      <c r="R120" s="155">
        <v>1</v>
      </c>
      <c r="S120" s="72" t="str">
        <f>IF(T_MEASURES[[#This Row],[No risk (0)]]=1,"■","")</f>
        <v/>
      </c>
      <c r="T120" s="73" t="str">
        <f>IF(T_MEASURES[[#This Row],[Low risk (1)]]=1,"■","")</f>
        <v>■</v>
      </c>
      <c r="U120" s="74" t="str">
        <f>IF(T_MEASURES[[#This Row],[Medium risk (2)]]=1,"■","")</f>
        <v>■</v>
      </c>
      <c r="V120" s="71" t="str">
        <f>IF(T_MEASURES[[#This Row],[High risk (3)]]=1,"■","")</f>
        <v>■</v>
      </c>
      <c r="W120" s="18" t="str">
        <f t="shared" si="4"/>
        <v>4. High (Red)</v>
      </c>
      <c r="X120" s="18">
        <f>COUNT(T_MEASURES[[#This Row],[Buildings and public facilities]:[Coordination]])</f>
        <v>1</v>
      </c>
      <c r="Y120" s="18"/>
      <c r="Z120" s="18" t="str">
        <f>IF(T_MEASURES[[#This Row],[Buildings and public facilities]]=1,"Yes","No")</f>
        <v>No</v>
      </c>
      <c r="AA120" s="18"/>
      <c r="AB120" s="18" t="str">
        <f>IF(T_MEASURES[[#This Row],[Urban planning]]=1,"Yes","No")</f>
        <v>No</v>
      </c>
      <c r="AC120" s="18"/>
      <c r="AD120" s="18" t="str">
        <f>IF(T_MEASURES[[#This Row],[Culture and Sports]],"Yes","No")</f>
        <v>No</v>
      </c>
      <c r="AE120" s="18"/>
      <c r="AF120" s="18" t="str">
        <f>IF(T_MEASURES[[#This Row],[Tourism]],"Yes","No")</f>
        <v>No</v>
      </c>
      <c r="AG120" s="18"/>
      <c r="AH120" s="18" t="str">
        <f>IF(T_MEASURES[[#This Row],[Occupational risks]],"Yes","No")</f>
        <v>No</v>
      </c>
      <c r="AI120" s="18"/>
      <c r="AJ120" s="18" t="str">
        <f>IF(T_MEASURES[[#This Row],[Education]],"Yes","No")</f>
        <v>No</v>
      </c>
      <c r="AK120" s="18">
        <v>1</v>
      </c>
      <c r="AL120" s="18" t="str">
        <f>IF(T_MEASURES[[#This Row],[Social Services]],"Yes","No")</f>
        <v>Yes</v>
      </c>
      <c r="AM120" s="18"/>
      <c r="AN120" s="18" t="str">
        <f>IF(T_MEASURES[[#This Row],[Emergency Services and Police]],"Yes","No")</f>
        <v>No</v>
      </c>
      <c r="AO120" s="18"/>
      <c r="AP120" s="18" t="str">
        <f>IF(T_MEASURES[[#This Row],[Parks and gardens (Urban Green Infrastructure)]],"Yes","No")</f>
        <v>No</v>
      </c>
      <c r="AQ120" s="18"/>
      <c r="AR120" s="18" t="str">
        <f>IF(T_MEASURES[[#This Row],[Transport]],"Yes","No")</f>
        <v>No</v>
      </c>
      <c r="AS120" s="158"/>
      <c r="AT120" s="1" t="str">
        <f>IF(T_MEASURES[[#This Row],[Coordination]],"Yes","No")</f>
        <v>No</v>
      </c>
      <c r="AU120" s="2">
        <v>1</v>
      </c>
      <c r="AV120" s="1">
        <v>1</v>
      </c>
      <c r="AW120" s="1">
        <v>1</v>
      </c>
      <c r="AX120" s="1">
        <v>1</v>
      </c>
      <c r="AY120" s="3">
        <v>1</v>
      </c>
      <c r="AZ120" s="86">
        <f>SUMPRODUCT($AT$15:$AX$15,T_MEASURES[[#This Row],[&lt;5.000]:[&gt;100.000]])</f>
        <v>1</v>
      </c>
      <c r="BA120" s="1">
        <v>1</v>
      </c>
      <c r="BB120" s="1">
        <v>1</v>
      </c>
      <c r="BC120" s="1">
        <v>1</v>
      </c>
      <c r="BD120" s="1">
        <v>1</v>
      </c>
      <c r="BE120" s="1">
        <v>1</v>
      </c>
      <c r="BF120" s="1">
        <v>1</v>
      </c>
      <c r="BG120" s="1">
        <v>1</v>
      </c>
      <c r="BH120" s="86" cm="1">
        <f t="array" ref="BH120">SUMPRODUCT(--((T_MEASURES[[#This Row],[Health or social care centers]:[Schools / Educational centers]] + $AZ$15:$BF$15)&gt;0))</f>
        <v>7</v>
      </c>
      <c r="BI120" s="88">
        <v>0</v>
      </c>
      <c r="BJ120" s="88">
        <v>0</v>
      </c>
      <c r="BK120" s="88">
        <v>3</v>
      </c>
      <c r="BL120" s="88">
        <v>2</v>
      </c>
      <c r="BM120" s="88">
        <v>2</v>
      </c>
      <c r="BN120" s="88">
        <v>2</v>
      </c>
      <c r="BO120" s="88">
        <v>3</v>
      </c>
      <c r="BP120" s="88">
        <v>3</v>
      </c>
      <c r="BQ120" s="96" cm="1">
        <f t="array" ref="BQ120">T_MEASURES[[#This Row],[Apply size]]*(SUMPRODUCT(T_MEASURES[[#This Row],[C1_Urban Cooling]:[C8_Time]],TRANSPOSE('2.WEIGHTS'!$L$12:$L$19))+(ROW(C120)-ROW($C$18)+1)*0.0000000001)*100</f>
        <v>187.50000102999999</v>
      </c>
      <c r="BR120" s="21"/>
      <c r="BS120" s="38"/>
    </row>
    <row r="121" spans="1:71" ht="33.6" x14ac:dyDescent="0.3">
      <c r="A121" s="21"/>
      <c r="B121" s="38"/>
      <c r="C121" s="21"/>
      <c r="D121" s="86">
        <f>IF(T_MEASURES[[#This Row],[Weight Criterion]]&lt;=0,"",_xlfn.RANK.EQ(T_MEASURES[[#This Row],[Weight Criterion]],T_MEASURES[Weight Criterion]))</f>
        <v>109</v>
      </c>
      <c r="E121" s="152" t="s">
        <v>334</v>
      </c>
      <c r="F121" s="151" t="s">
        <v>431</v>
      </c>
      <c r="G121" s="151" t="s">
        <v>42</v>
      </c>
      <c r="H121" s="151" t="s">
        <v>126</v>
      </c>
      <c r="I121" s="151" t="s">
        <v>335</v>
      </c>
      <c r="J121" s="151"/>
      <c r="K121" s="153"/>
      <c r="L121" s="18">
        <v>1</v>
      </c>
      <c r="M121" s="18"/>
      <c r="N121" s="154" t="str">
        <f t="shared" si="5"/>
        <v>€€</v>
      </c>
      <c r="O121" s="155"/>
      <c r="P121" s="155"/>
      <c r="Q121" s="19">
        <v>1</v>
      </c>
      <c r="R121" s="155">
        <v>1</v>
      </c>
      <c r="S121" s="72" t="str">
        <f>IF(T_MEASURES[[#This Row],[No risk (0)]]=1,"■","")</f>
        <v/>
      </c>
      <c r="T121" s="73" t="str">
        <f>IF(T_MEASURES[[#This Row],[Low risk (1)]]=1,"■","")</f>
        <v/>
      </c>
      <c r="U121" s="74" t="str">
        <f>IF(T_MEASURES[[#This Row],[Medium risk (2)]]=1,"■","")</f>
        <v>■</v>
      </c>
      <c r="V121" s="71" t="str">
        <f>IF(T_MEASURES[[#This Row],[High risk (3)]]=1,"■","")</f>
        <v>■</v>
      </c>
      <c r="W121" s="18" t="str">
        <f t="shared" si="4"/>
        <v>4. High (Red)</v>
      </c>
      <c r="X121" s="18">
        <f>COUNT(T_MEASURES[[#This Row],[Buildings and public facilities]:[Coordination]])</f>
        <v>1</v>
      </c>
      <c r="Y121" s="18"/>
      <c r="Z121" s="18" t="str">
        <f>IF(T_MEASURES[[#This Row],[Buildings and public facilities]]=1,"Yes","No")</f>
        <v>No</v>
      </c>
      <c r="AA121" s="18"/>
      <c r="AB121" s="18" t="str">
        <f>IF(T_MEASURES[[#This Row],[Urban planning]]=1,"Yes","No")</f>
        <v>No</v>
      </c>
      <c r="AC121" s="18"/>
      <c r="AD121" s="18" t="str">
        <f>IF(T_MEASURES[[#This Row],[Culture and Sports]],"Yes","No")</f>
        <v>No</v>
      </c>
      <c r="AE121" s="18"/>
      <c r="AF121" s="18" t="str">
        <f>IF(T_MEASURES[[#This Row],[Tourism]],"Yes","No")</f>
        <v>No</v>
      </c>
      <c r="AG121" s="18">
        <v>1</v>
      </c>
      <c r="AH121" s="18" t="str">
        <f>IF(T_MEASURES[[#This Row],[Occupational risks]],"Yes","No")</f>
        <v>Yes</v>
      </c>
      <c r="AI121" s="18"/>
      <c r="AJ121" s="18" t="str">
        <f>IF(T_MEASURES[[#This Row],[Education]],"Yes","No")</f>
        <v>No</v>
      </c>
      <c r="AK121" s="18"/>
      <c r="AL121" s="18" t="str">
        <f>IF(T_MEASURES[[#This Row],[Social Services]],"Yes","No")</f>
        <v>No</v>
      </c>
      <c r="AM121" s="18"/>
      <c r="AN121" s="18" t="str">
        <f>IF(T_MEASURES[[#This Row],[Emergency Services and Police]],"Yes","No")</f>
        <v>No</v>
      </c>
      <c r="AO121" s="18"/>
      <c r="AP121" s="18" t="str">
        <f>IF(T_MEASURES[[#This Row],[Parks and gardens (Urban Green Infrastructure)]],"Yes","No")</f>
        <v>No</v>
      </c>
      <c r="AQ121" s="18"/>
      <c r="AR121" s="18" t="str">
        <f>IF(T_MEASURES[[#This Row],[Transport]],"Yes","No")</f>
        <v>No</v>
      </c>
      <c r="AS121" s="158"/>
      <c r="AT121" s="1" t="str">
        <f>IF(T_MEASURES[[#This Row],[Coordination]],"Yes","No")</f>
        <v>No</v>
      </c>
      <c r="AU121" s="2">
        <v>1</v>
      </c>
      <c r="AV121" s="1">
        <v>1</v>
      </c>
      <c r="AW121" s="1">
        <v>1</v>
      </c>
      <c r="AX121" s="1">
        <v>1</v>
      </c>
      <c r="AY121" s="3">
        <v>1</v>
      </c>
      <c r="AZ121" s="86">
        <f>SUMPRODUCT($AT$15:$AX$15,T_MEASURES[[#This Row],[&lt;5.000]:[&gt;100.000]])</f>
        <v>1</v>
      </c>
      <c r="BA121" s="1">
        <v>1</v>
      </c>
      <c r="BB121" s="1">
        <v>1</v>
      </c>
      <c r="BC121" s="1">
        <v>1</v>
      </c>
      <c r="BD121" s="1">
        <v>1</v>
      </c>
      <c r="BE121" s="1">
        <v>1</v>
      </c>
      <c r="BF121" s="1">
        <v>1</v>
      </c>
      <c r="BG121" s="1">
        <v>1</v>
      </c>
      <c r="BH121" s="86" cm="1">
        <f t="array" ref="BH121">SUMPRODUCT(--((T_MEASURES[[#This Row],[Health or social care centers]:[Schools / Educational centers]] + $AZ$15:$BF$15)&gt;0))</f>
        <v>7</v>
      </c>
      <c r="BI121" s="1">
        <v>0</v>
      </c>
      <c r="BJ121" s="1">
        <v>0</v>
      </c>
      <c r="BK121" s="1">
        <v>2</v>
      </c>
      <c r="BL121" s="1">
        <v>2</v>
      </c>
      <c r="BM121" s="1">
        <v>2</v>
      </c>
      <c r="BN121" s="1">
        <v>2</v>
      </c>
      <c r="BO121" s="1">
        <v>2</v>
      </c>
      <c r="BP121" s="1">
        <v>3</v>
      </c>
      <c r="BQ121" s="96" cm="1">
        <f t="array" ref="BQ121">T_MEASURES[[#This Row],[Apply size]]*(SUMPRODUCT(T_MEASURES[[#This Row],[C1_Urban Cooling]:[C8_Time]],TRANSPOSE('2.WEIGHTS'!$L$12:$L$19))+(ROW(C121)-ROW($C$18)+1)*0.0000000001)*100</f>
        <v>162.50000104</v>
      </c>
      <c r="BR121" s="21"/>
      <c r="BS121" s="38"/>
    </row>
    <row r="122" spans="1:71" ht="33.6" x14ac:dyDescent="0.3">
      <c r="A122" s="21"/>
      <c r="B122" s="38"/>
      <c r="C122" s="21"/>
      <c r="D122" s="86">
        <f>IF(T_MEASURES[[#This Row],[Weight Criterion]]&lt;=0,"",_xlfn.RANK.EQ(T_MEASURES[[#This Row],[Weight Criterion]],T_MEASURES[Weight Criterion]))</f>
        <v>136</v>
      </c>
      <c r="E122" s="152" t="s">
        <v>336</v>
      </c>
      <c r="F122" s="151" t="s">
        <v>431</v>
      </c>
      <c r="G122" s="151" t="s">
        <v>41</v>
      </c>
      <c r="H122" s="151" t="s">
        <v>132</v>
      </c>
      <c r="I122" s="151" t="s">
        <v>337</v>
      </c>
      <c r="J122" s="151"/>
      <c r="K122" s="153"/>
      <c r="L122" s="18">
        <v>1</v>
      </c>
      <c r="M122" s="18"/>
      <c r="N122" s="154" t="str">
        <f t="shared" si="5"/>
        <v>€€</v>
      </c>
      <c r="O122" s="155"/>
      <c r="P122" s="155"/>
      <c r="Q122" s="19">
        <v>1</v>
      </c>
      <c r="R122" s="155">
        <v>1</v>
      </c>
      <c r="S122" s="72" t="str">
        <f>IF(T_MEASURES[[#This Row],[No risk (0)]]=1,"■","")</f>
        <v/>
      </c>
      <c r="T122" s="73" t="str">
        <f>IF(T_MEASURES[[#This Row],[Low risk (1)]]=1,"■","")</f>
        <v/>
      </c>
      <c r="U122" s="74" t="str">
        <f>IF(T_MEASURES[[#This Row],[Medium risk (2)]]=1,"■","")</f>
        <v>■</v>
      </c>
      <c r="V122" s="71" t="str">
        <f>IF(T_MEASURES[[#This Row],[High risk (3)]]=1,"■","")</f>
        <v>■</v>
      </c>
      <c r="W122" s="18" t="str">
        <f t="shared" si="4"/>
        <v>4. High (Red)</v>
      </c>
      <c r="X122" s="18">
        <f>COUNT(T_MEASURES[[#This Row],[Buildings and public facilities]:[Coordination]])</f>
        <v>1</v>
      </c>
      <c r="Y122" s="18"/>
      <c r="Z122" s="18" t="str">
        <f>IF(T_MEASURES[[#This Row],[Buildings and public facilities]]=1,"Yes","No")</f>
        <v>No</v>
      </c>
      <c r="AA122" s="18"/>
      <c r="AB122" s="18" t="str">
        <f>IF(T_MEASURES[[#This Row],[Urban planning]]=1,"Yes","No")</f>
        <v>No</v>
      </c>
      <c r="AC122" s="18"/>
      <c r="AD122" s="18" t="str">
        <f>IF(T_MEASURES[[#This Row],[Culture and Sports]],"Yes","No")</f>
        <v>No</v>
      </c>
      <c r="AE122" s="18"/>
      <c r="AF122" s="18" t="str">
        <f>IF(T_MEASURES[[#This Row],[Tourism]],"Yes","No")</f>
        <v>No</v>
      </c>
      <c r="AG122" s="18">
        <v>1</v>
      </c>
      <c r="AH122" s="18" t="str">
        <f>IF(T_MEASURES[[#This Row],[Occupational risks]],"Yes","No")</f>
        <v>Yes</v>
      </c>
      <c r="AI122" s="18"/>
      <c r="AJ122" s="18" t="str">
        <f>IF(T_MEASURES[[#This Row],[Education]],"Yes","No")</f>
        <v>No</v>
      </c>
      <c r="AK122" s="18"/>
      <c r="AL122" s="18" t="str">
        <f>IF(T_MEASURES[[#This Row],[Social Services]],"Yes","No")</f>
        <v>No</v>
      </c>
      <c r="AM122" s="18"/>
      <c r="AN122" s="18" t="str">
        <f>IF(T_MEASURES[[#This Row],[Emergency Services and Police]],"Yes","No")</f>
        <v>No</v>
      </c>
      <c r="AO122" s="18"/>
      <c r="AP122" s="18" t="str">
        <f>IF(T_MEASURES[[#This Row],[Parks and gardens (Urban Green Infrastructure)]],"Yes","No")</f>
        <v>No</v>
      </c>
      <c r="AQ122" s="18"/>
      <c r="AR122" s="18" t="str">
        <f>IF(T_MEASURES[[#This Row],[Transport]],"Yes","No")</f>
        <v>No</v>
      </c>
      <c r="AS122" s="158"/>
      <c r="AT122" s="1" t="str">
        <f>IF(T_MEASURES[[#This Row],[Coordination]],"Yes","No")</f>
        <v>No</v>
      </c>
      <c r="AU122" s="2">
        <v>1</v>
      </c>
      <c r="AV122" s="1">
        <v>1</v>
      </c>
      <c r="AW122" s="1">
        <v>1</v>
      </c>
      <c r="AX122" s="1">
        <v>1</v>
      </c>
      <c r="AY122" s="3">
        <v>1</v>
      </c>
      <c r="AZ122" s="86">
        <f>SUMPRODUCT($AT$15:$AX$15,T_MEASURES[[#This Row],[&lt;5.000]:[&gt;100.000]])</f>
        <v>1</v>
      </c>
      <c r="BA122" s="1">
        <v>1</v>
      </c>
      <c r="BB122" s="1">
        <v>1</v>
      </c>
      <c r="BC122" s="1">
        <v>1</v>
      </c>
      <c r="BD122" s="1">
        <v>1</v>
      </c>
      <c r="BE122" s="1">
        <v>1</v>
      </c>
      <c r="BF122" s="1">
        <v>1</v>
      </c>
      <c r="BG122" s="1">
        <v>1</v>
      </c>
      <c r="BH122" s="86" cm="1">
        <f t="array" ref="BH122">SUMPRODUCT(--((T_MEASURES[[#This Row],[Health or social care centers]:[Schools / Educational centers]] + $AZ$15:$BF$15)&gt;0))</f>
        <v>7</v>
      </c>
      <c r="BI122" s="88">
        <v>0</v>
      </c>
      <c r="BJ122" s="88">
        <v>0</v>
      </c>
      <c r="BK122" s="88">
        <v>2</v>
      </c>
      <c r="BL122" s="88">
        <v>1</v>
      </c>
      <c r="BM122" s="88">
        <v>1</v>
      </c>
      <c r="BN122" s="88">
        <v>1</v>
      </c>
      <c r="BO122" s="88">
        <v>2</v>
      </c>
      <c r="BP122" s="88">
        <v>2</v>
      </c>
      <c r="BQ122" s="96" cm="1">
        <f t="array" ref="BQ122">T_MEASURES[[#This Row],[Apply size]]*(SUMPRODUCT(T_MEASURES[[#This Row],[C1_Urban Cooling]:[C8_Time]],TRANSPOSE('2.WEIGHTS'!$L$12:$L$19))+(ROW(C122)-ROW($C$18)+1)*0.0000000001)*100</f>
        <v>112.50000104999999</v>
      </c>
      <c r="BR122" s="21"/>
      <c r="BS122" s="38"/>
    </row>
    <row r="123" spans="1:71" ht="33.6" x14ac:dyDescent="0.3">
      <c r="A123" s="21"/>
      <c r="B123" s="38"/>
      <c r="C123" s="21"/>
      <c r="D123" s="86">
        <f>IF(T_MEASURES[[#This Row],[Weight Criterion]]&lt;=0,"",_xlfn.RANK.EQ(T_MEASURES[[#This Row],[Weight Criterion]],T_MEASURES[Weight Criterion]))</f>
        <v>60</v>
      </c>
      <c r="E123" s="152" t="s">
        <v>338</v>
      </c>
      <c r="F123" s="151" t="s">
        <v>431</v>
      </c>
      <c r="G123" s="151" t="s">
        <v>42</v>
      </c>
      <c r="H123" s="151" t="s">
        <v>126</v>
      </c>
      <c r="I123" s="151" t="s">
        <v>339</v>
      </c>
      <c r="J123" s="151"/>
      <c r="K123" s="153">
        <v>1</v>
      </c>
      <c r="L123" s="18"/>
      <c r="M123" s="18"/>
      <c r="N123" s="154" t="str">
        <f t="shared" si="5"/>
        <v>€</v>
      </c>
      <c r="O123" s="155"/>
      <c r="P123" s="155"/>
      <c r="Q123" s="19">
        <v>1</v>
      </c>
      <c r="R123" s="155">
        <v>1</v>
      </c>
      <c r="S123" s="72" t="str">
        <f>IF(T_MEASURES[[#This Row],[No risk (0)]]=1,"■","")</f>
        <v/>
      </c>
      <c r="T123" s="73" t="str">
        <f>IF(T_MEASURES[[#This Row],[Low risk (1)]]=1,"■","")</f>
        <v/>
      </c>
      <c r="U123" s="74" t="str">
        <f>IF(T_MEASURES[[#This Row],[Medium risk (2)]]=1,"■","")</f>
        <v>■</v>
      </c>
      <c r="V123" s="71" t="str">
        <f>IF(T_MEASURES[[#This Row],[High risk (3)]]=1,"■","")</f>
        <v>■</v>
      </c>
      <c r="W123" s="18" t="str">
        <f t="shared" si="4"/>
        <v>4. High (Red)</v>
      </c>
      <c r="X123" s="18">
        <f>COUNT(T_MEASURES[[#This Row],[Buildings and public facilities]:[Coordination]])</f>
        <v>1</v>
      </c>
      <c r="Y123" s="18"/>
      <c r="Z123" s="18" t="str">
        <f>IF(T_MEASURES[[#This Row],[Buildings and public facilities]]=1,"Yes","No")</f>
        <v>No</v>
      </c>
      <c r="AA123" s="18"/>
      <c r="AB123" s="18" t="str">
        <f>IF(T_MEASURES[[#This Row],[Urban planning]]=1,"Yes","No")</f>
        <v>No</v>
      </c>
      <c r="AC123" s="18">
        <v>1</v>
      </c>
      <c r="AD123" s="18" t="str">
        <f>IF(T_MEASURES[[#This Row],[Culture and Sports]],"Yes","No")</f>
        <v>Yes</v>
      </c>
      <c r="AE123" s="18"/>
      <c r="AF123" s="18" t="str">
        <f>IF(T_MEASURES[[#This Row],[Tourism]],"Yes","No")</f>
        <v>No</v>
      </c>
      <c r="AG123" s="18"/>
      <c r="AH123" s="18" t="str">
        <f>IF(T_MEASURES[[#This Row],[Occupational risks]],"Yes","No")</f>
        <v>No</v>
      </c>
      <c r="AI123" s="18"/>
      <c r="AJ123" s="18" t="str">
        <f>IF(T_MEASURES[[#This Row],[Education]],"Yes","No")</f>
        <v>No</v>
      </c>
      <c r="AK123" s="18"/>
      <c r="AL123" s="18" t="str">
        <f>IF(T_MEASURES[[#This Row],[Social Services]],"Yes","No")</f>
        <v>No</v>
      </c>
      <c r="AM123" s="18"/>
      <c r="AN123" s="18" t="str">
        <f>IF(T_MEASURES[[#This Row],[Emergency Services and Police]],"Yes","No")</f>
        <v>No</v>
      </c>
      <c r="AO123" s="18"/>
      <c r="AP123" s="18" t="str">
        <f>IF(T_MEASURES[[#This Row],[Parks and gardens (Urban Green Infrastructure)]],"Yes","No")</f>
        <v>No</v>
      </c>
      <c r="AQ123" s="18"/>
      <c r="AR123" s="18" t="str">
        <f>IF(T_MEASURES[[#This Row],[Transport]],"Yes","No")</f>
        <v>No</v>
      </c>
      <c r="AS123" s="158"/>
      <c r="AT123" s="1" t="str">
        <f>IF(T_MEASURES[[#This Row],[Coordination]],"Yes","No")</f>
        <v>No</v>
      </c>
      <c r="AU123" s="2">
        <v>1</v>
      </c>
      <c r="AV123" s="1">
        <v>1</v>
      </c>
      <c r="AW123" s="1">
        <v>1</v>
      </c>
      <c r="AX123" s="1">
        <v>1</v>
      </c>
      <c r="AY123" s="3">
        <v>1</v>
      </c>
      <c r="AZ123" s="86">
        <f>SUMPRODUCT($AT$15:$AX$15,T_MEASURES[[#This Row],[&lt;5.000]:[&gt;100.000]])</f>
        <v>1</v>
      </c>
      <c r="BA123" s="1">
        <v>1</v>
      </c>
      <c r="BB123" s="1">
        <v>1</v>
      </c>
      <c r="BC123" s="1">
        <v>1</v>
      </c>
      <c r="BD123" s="1">
        <v>1</v>
      </c>
      <c r="BE123" s="1">
        <v>1</v>
      </c>
      <c r="BF123" s="1">
        <v>1</v>
      </c>
      <c r="BG123" s="1">
        <v>1</v>
      </c>
      <c r="BH123" s="86" cm="1">
        <f t="array" ref="BH123">SUMPRODUCT(--((T_MEASURES[[#This Row],[Health or social care centers]:[Schools / Educational centers]] + $AZ$15:$BF$15)&gt;0))</f>
        <v>7</v>
      </c>
      <c r="BI123" s="1">
        <v>0</v>
      </c>
      <c r="BJ123" s="1">
        <v>0</v>
      </c>
      <c r="BK123" s="1">
        <v>2</v>
      </c>
      <c r="BL123" s="1">
        <v>2</v>
      </c>
      <c r="BM123" s="1">
        <v>3</v>
      </c>
      <c r="BN123" s="1">
        <v>2</v>
      </c>
      <c r="BO123" s="1">
        <v>3</v>
      </c>
      <c r="BP123" s="1">
        <v>3</v>
      </c>
      <c r="BQ123" s="96" cm="1">
        <f t="array" ref="BQ123">T_MEASURES[[#This Row],[Apply size]]*(SUMPRODUCT(T_MEASURES[[#This Row],[C1_Urban Cooling]:[C8_Time]],TRANSPOSE('2.WEIGHTS'!$L$12:$L$19))+(ROW(C123)-ROW($C$18)+1)*0.0000000001)*100</f>
        <v>187.50000105999999</v>
      </c>
      <c r="BR123" s="21"/>
      <c r="BS123" s="38"/>
    </row>
    <row r="124" spans="1:71" ht="33.6" x14ac:dyDescent="0.3">
      <c r="A124" s="21"/>
      <c r="B124" s="38"/>
      <c r="C124" s="21"/>
      <c r="D124" s="86">
        <f>IF(T_MEASURES[[#This Row],[Weight Criterion]]&lt;=0,"",_xlfn.RANK.EQ(T_MEASURES[[#This Row],[Weight Criterion]],T_MEASURES[Weight Criterion]))</f>
        <v>59</v>
      </c>
      <c r="E124" s="152" t="s">
        <v>340</v>
      </c>
      <c r="F124" s="151" t="s">
        <v>431</v>
      </c>
      <c r="G124" s="151" t="s">
        <v>42</v>
      </c>
      <c r="H124" s="151" t="s">
        <v>126</v>
      </c>
      <c r="I124" s="151" t="s">
        <v>341</v>
      </c>
      <c r="J124" s="151"/>
      <c r="K124" s="153">
        <v>1</v>
      </c>
      <c r="L124" s="18"/>
      <c r="M124" s="18"/>
      <c r="N124" s="154" t="str">
        <f t="shared" si="5"/>
        <v>€</v>
      </c>
      <c r="O124" s="155"/>
      <c r="P124" s="155"/>
      <c r="Q124" s="19">
        <v>1</v>
      </c>
      <c r="R124" s="155">
        <v>1</v>
      </c>
      <c r="S124" s="72" t="str">
        <f>IF(T_MEASURES[[#This Row],[No risk (0)]]=1,"■","")</f>
        <v/>
      </c>
      <c r="T124" s="73" t="str">
        <f>IF(T_MEASURES[[#This Row],[Low risk (1)]]=1,"■","")</f>
        <v/>
      </c>
      <c r="U124" s="74" t="str">
        <f>IF(T_MEASURES[[#This Row],[Medium risk (2)]]=1,"■","")</f>
        <v>■</v>
      </c>
      <c r="V124" s="71" t="str">
        <f>IF(T_MEASURES[[#This Row],[High risk (3)]]=1,"■","")</f>
        <v>■</v>
      </c>
      <c r="W124" s="18" t="str">
        <f t="shared" si="4"/>
        <v>4. High (Red)</v>
      </c>
      <c r="X124" s="18">
        <f>COUNT(T_MEASURES[[#This Row],[Buildings and public facilities]:[Coordination]])</f>
        <v>1</v>
      </c>
      <c r="Y124" s="18"/>
      <c r="Z124" s="18" t="str">
        <f>IF(T_MEASURES[[#This Row],[Buildings and public facilities]]=1,"Yes","No")</f>
        <v>No</v>
      </c>
      <c r="AA124" s="18"/>
      <c r="AB124" s="18" t="str">
        <f>IF(T_MEASURES[[#This Row],[Urban planning]]=1,"Yes","No")</f>
        <v>No</v>
      </c>
      <c r="AC124" s="18">
        <v>1</v>
      </c>
      <c r="AD124" s="18" t="str">
        <f>IF(T_MEASURES[[#This Row],[Culture and Sports]],"Yes","No")</f>
        <v>Yes</v>
      </c>
      <c r="AE124" s="18"/>
      <c r="AF124" s="18" t="str">
        <f>IF(T_MEASURES[[#This Row],[Tourism]],"Yes","No")</f>
        <v>No</v>
      </c>
      <c r="AG124" s="18"/>
      <c r="AH124" s="18" t="str">
        <f>IF(T_MEASURES[[#This Row],[Occupational risks]],"Yes","No")</f>
        <v>No</v>
      </c>
      <c r="AI124" s="18"/>
      <c r="AJ124" s="18" t="str">
        <f>IF(T_MEASURES[[#This Row],[Education]],"Yes","No")</f>
        <v>No</v>
      </c>
      <c r="AK124" s="18"/>
      <c r="AL124" s="18" t="str">
        <f>IF(T_MEASURES[[#This Row],[Social Services]],"Yes","No")</f>
        <v>No</v>
      </c>
      <c r="AM124" s="18"/>
      <c r="AN124" s="18" t="str">
        <f>IF(T_MEASURES[[#This Row],[Emergency Services and Police]],"Yes","No")</f>
        <v>No</v>
      </c>
      <c r="AO124" s="18"/>
      <c r="AP124" s="18" t="str">
        <f>IF(T_MEASURES[[#This Row],[Parks and gardens (Urban Green Infrastructure)]],"Yes","No")</f>
        <v>No</v>
      </c>
      <c r="AQ124" s="18"/>
      <c r="AR124" s="18" t="str">
        <f>IF(T_MEASURES[[#This Row],[Transport]],"Yes","No")</f>
        <v>No</v>
      </c>
      <c r="AS124" s="158"/>
      <c r="AT124" s="1" t="str">
        <f>IF(T_MEASURES[[#This Row],[Coordination]],"Yes","No")</f>
        <v>No</v>
      </c>
      <c r="AU124" s="2">
        <v>1</v>
      </c>
      <c r="AV124" s="1">
        <v>1</v>
      </c>
      <c r="AW124" s="1">
        <v>1</v>
      </c>
      <c r="AX124" s="1">
        <v>1</v>
      </c>
      <c r="AY124" s="3">
        <v>1</v>
      </c>
      <c r="AZ124" s="86">
        <f>SUMPRODUCT($AT$15:$AX$15,T_MEASURES[[#This Row],[&lt;5.000]:[&gt;100.000]])</f>
        <v>1</v>
      </c>
      <c r="BA124" s="1">
        <v>1</v>
      </c>
      <c r="BB124" s="1">
        <v>1</v>
      </c>
      <c r="BC124" s="1">
        <v>1</v>
      </c>
      <c r="BD124" s="1">
        <v>1</v>
      </c>
      <c r="BE124" s="1">
        <v>1</v>
      </c>
      <c r="BF124" s="1">
        <v>1</v>
      </c>
      <c r="BG124" s="1">
        <v>1</v>
      </c>
      <c r="BH124" s="86" cm="1">
        <f t="array" ref="BH124">SUMPRODUCT(--((T_MEASURES[[#This Row],[Health or social care centers]:[Schools / Educational centers]] + $AZ$15:$BF$15)&gt;0))</f>
        <v>7</v>
      </c>
      <c r="BI124" s="88">
        <v>0</v>
      </c>
      <c r="BJ124" s="88">
        <v>0</v>
      </c>
      <c r="BK124" s="88">
        <v>2</v>
      </c>
      <c r="BL124" s="88">
        <v>2</v>
      </c>
      <c r="BM124" s="88">
        <v>3</v>
      </c>
      <c r="BN124" s="88">
        <v>2</v>
      </c>
      <c r="BO124" s="88">
        <v>3</v>
      </c>
      <c r="BP124" s="88">
        <v>3</v>
      </c>
      <c r="BQ124" s="96" cm="1">
        <f t="array" ref="BQ124">T_MEASURES[[#This Row],[Apply size]]*(SUMPRODUCT(T_MEASURES[[#This Row],[C1_Urban Cooling]:[C8_Time]],TRANSPOSE('2.WEIGHTS'!$L$12:$L$19))+(ROW(C124)-ROW($C$18)+1)*0.0000000001)*100</f>
        <v>187.50000107</v>
      </c>
      <c r="BR124" s="21"/>
      <c r="BS124" s="38"/>
    </row>
    <row r="125" spans="1:71" ht="33.6" x14ac:dyDescent="0.3">
      <c r="A125" s="21"/>
      <c r="B125" s="38"/>
      <c r="C125" s="21"/>
      <c r="D125" s="86">
        <f>IF(T_MEASURES[[#This Row],[Weight Criterion]]&lt;=0,"",_xlfn.RANK.EQ(T_MEASURES[[#This Row],[Weight Criterion]],T_MEASURES[Weight Criterion]))</f>
        <v>58</v>
      </c>
      <c r="E125" s="152" t="s">
        <v>342</v>
      </c>
      <c r="F125" s="151" t="s">
        <v>431</v>
      </c>
      <c r="G125" s="151" t="s">
        <v>42</v>
      </c>
      <c r="H125" s="151" t="s">
        <v>126</v>
      </c>
      <c r="I125" s="151" t="s">
        <v>343</v>
      </c>
      <c r="J125" s="151"/>
      <c r="K125" s="153">
        <v>1</v>
      </c>
      <c r="L125" s="18"/>
      <c r="M125" s="18"/>
      <c r="N125" s="154" t="str">
        <f t="shared" si="5"/>
        <v>€</v>
      </c>
      <c r="O125" s="155"/>
      <c r="P125" s="155"/>
      <c r="Q125" s="19">
        <v>1</v>
      </c>
      <c r="R125" s="155">
        <v>1</v>
      </c>
      <c r="S125" s="72" t="str">
        <f>IF(T_MEASURES[[#This Row],[No risk (0)]]=1,"■","")</f>
        <v/>
      </c>
      <c r="T125" s="73" t="str">
        <f>IF(T_MEASURES[[#This Row],[Low risk (1)]]=1,"■","")</f>
        <v/>
      </c>
      <c r="U125" s="74" t="str">
        <f>IF(T_MEASURES[[#This Row],[Medium risk (2)]]=1,"■","")</f>
        <v>■</v>
      </c>
      <c r="V125" s="71" t="str">
        <f>IF(T_MEASURES[[#This Row],[High risk (3)]]=1,"■","")</f>
        <v>■</v>
      </c>
      <c r="W125" s="18" t="str">
        <f t="shared" si="4"/>
        <v>4. High (Red)</v>
      </c>
      <c r="X125" s="18">
        <f>COUNT(T_MEASURES[[#This Row],[Buildings and public facilities]:[Coordination]])</f>
        <v>1</v>
      </c>
      <c r="Y125" s="18"/>
      <c r="Z125" s="18" t="str">
        <f>IF(T_MEASURES[[#This Row],[Buildings and public facilities]]=1,"Yes","No")</f>
        <v>No</v>
      </c>
      <c r="AA125" s="18"/>
      <c r="AB125" s="18" t="str">
        <f>IF(T_MEASURES[[#This Row],[Urban planning]]=1,"Yes","No")</f>
        <v>No</v>
      </c>
      <c r="AC125" s="18">
        <v>1</v>
      </c>
      <c r="AD125" s="18" t="str">
        <f>IF(T_MEASURES[[#This Row],[Culture and Sports]],"Yes","No")</f>
        <v>Yes</v>
      </c>
      <c r="AE125" s="18"/>
      <c r="AF125" s="18" t="str">
        <f>IF(T_MEASURES[[#This Row],[Tourism]],"Yes","No")</f>
        <v>No</v>
      </c>
      <c r="AG125" s="18"/>
      <c r="AH125" s="18" t="str">
        <f>IF(T_MEASURES[[#This Row],[Occupational risks]],"Yes","No")</f>
        <v>No</v>
      </c>
      <c r="AI125" s="18"/>
      <c r="AJ125" s="18" t="str">
        <f>IF(T_MEASURES[[#This Row],[Education]],"Yes","No")</f>
        <v>No</v>
      </c>
      <c r="AK125" s="18"/>
      <c r="AL125" s="18" t="str">
        <f>IF(T_MEASURES[[#This Row],[Social Services]],"Yes","No")</f>
        <v>No</v>
      </c>
      <c r="AM125" s="18"/>
      <c r="AN125" s="18" t="str">
        <f>IF(T_MEASURES[[#This Row],[Emergency Services and Police]],"Yes","No")</f>
        <v>No</v>
      </c>
      <c r="AO125" s="18"/>
      <c r="AP125" s="18" t="str">
        <f>IF(T_MEASURES[[#This Row],[Parks and gardens (Urban Green Infrastructure)]],"Yes","No")</f>
        <v>No</v>
      </c>
      <c r="AQ125" s="18"/>
      <c r="AR125" s="18" t="str">
        <f>IF(T_MEASURES[[#This Row],[Transport]],"Yes","No")</f>
        <v>No</v>
      </c>
      <c r="AS125" s="158"/>
      <c r="AT125" s="1" t="str">
        <f>IF(T_MEASURES[[#This Row],[Coordination]],"Yes","No")</f>
        <v>No</v>
      </c>
      <c r="AU125" s="2">
        <v>1</v>
      </c>
      <c r="AV125" s="1">
        <v>1</v>
      </c>
      <c r="AW125" s="1">
        <v>1</v>
      </c>
      <c r="AX125" s="1">
        <v>1</v>
      </c>
      <c r="AY125" s="3">
        <v>1</v>
      </c>
      <c r="AZ125" s="86">
        <f>SUMPRODUCT($AT$15:$AX$15,T_MEASURES[[#This Row],[&lt;5.000]:[&gt;100.000]])</f>
        <v>1</v>
      </c>
      <c r="BA125" s="1">
        <v>1</v>
      </c>
      <c r="BB125" s="1">
        <v>1</v>
      </c>
      <c r="BC125" s="1">
        <v>1</v>
      </c>
      <c r="BD125" s="1">
        <v>1</v>
      </c>
      <c r="BE125" s="1">
        <v>1</v>
      </c>
      <c r="BF125" s="1">
        <v>1</v>
      </c>
      <c r="BG125" s="1">
        <v>1</v>
      </c>
      <c r="BH125" s="86" cm="1">
        <f t="array" ref="BH125">SUMPRODUCT(--((T_MEASURES[[#This Row],[Health or social care centers]:[Schools / Educational centers]] + $AZ$15:$BF$15)&gt;0))</f>
        <v>7</v>
      </c>
      <c r="BI125" s="1">
        <v>0</v>
      </c>
      <c r="BJ125" s="1">
        <v>0</v>
      </c>
      <c r="BK125" s="1">
        <v>2</v>
      </c>
      <c r="BL125" s="1">
        <v>2</v>
      </c>
      <c r="BM125" s="1">
        <v>3</v>
      </c>
      <c r="BN125" s="1">
        <v>2</v>
      </c>
      <c r="BO125" s="1">
        <v>3</v>
      </c>
      <c r="BP125" s="1">
        <v>3</v>
      </c>
      <c r="BQ125" s="96" cm="1">
        <f t="array" ref="BQ125">T_MEASURES[[#This Row],[Apply size]]*(SUMPRODUCT(T_MEASURES[[#This Row],[C1_Urban Cooling]:[C8_Time]],TRANSPOSE('2.WEIGHTS'!$L$12:$L$19))+(ROW(C125)-ROW($C$18)+1)*0.0000000001)*100</f>
        <v>187.50000108</v>
      </c>
      <c r="BR125" s="21"/>
      <c r="BS125" s="38"/>
    </row>
    <row r="126" spans="1:71" ht="33.6" x14ac:dyDescent="0.3">
      <c r="A126" s="21"/>
      <c r="B126" s="38"/>
      <c r="C126" s="21"/>
      <c r="D126" s="86">
        <f>IF(T_MEASURES[[#This Row],[Weight Criterion]]&lt;=0,"",_xlfn.RANK.EQ(T_MEASURES[[#This Row],[Weight Criterion]],T_MEASURES[Weight Criterion]))</f>
        <v>5</v>
      </c>
      <c r="E126" s="152" t="s">
        <v>344</v>
      </c>
      <c r="F126" s="151" t="s">
        <v>431</v>
      </c>
      <c r="G126" s="151" t="s">
        <v>44</v>
      </c>
      <c r="H126" s="151" t="s">
        <v>245</v>
      </c>
      <c r="I126" s="151" t="s">
        <v>345</v>
      </c>
      <c r="J126" s="151"/>
      <c r="K126" s="153">
        <v>1</v>
      </c>
      <c r="L126" s="18">
        <v>1</v>
      </c>
      <c r="M126" s="18"/>
      <c r="N126" s="154" t="str">
        <f t="shared" si="5"/>
        <v>€€</v>
      </c>
      <c r="O126" s="155"/>
      <c r="P126" s="155"/>
      <c r="Q126" s="19">
        <v>1</v>
      </c>
      <c r="R126" s="155">
        <v>1</v>
      </c>
      <c r="S126" s="72" t="str">
        <f>IF(T_MEASURES[[#This Row],[No risk (0)]]=1,"■","")</f>
        <v/>
      </c>
      <c r="T126" s="73" t="str">
        <f>IF(T_MEASURES[[#This Row],[Low risk (1)]]=1,"■","")</f>
        <v/>
      </c>
      <c r="U126" s="74" t="str">
        <f>IF(T_MEASURES[[#This Row],[Medium risk (2)]]=1,"■","")</f>
        <v>■</v>
      </c>
      <c r="V126" s="71" t="str">
        <f>IF(T_MEASURES[[#This Row],[High risk (3)]]=1,"■","")</f>
        <v>■</v>
      </c>
      <c r="W126" s="18" t="str">
        <f t="shared" si="4"/>
        <v>4. High (Red)</v>
      </c>
      <c r="X126" s="18">
        <f>COUNT(T_MEASURES[[#This Row],[Buildings and public facilities]:[Coordination]])</f>
        <v>2</v>
      </c>
      <c r="Y126" s="18">
        <v>1</v>
      </c>
      <c r="Z126" s="18" t="str">
        <f>IF(T_MEASURES[[#This Row],[Buildings and public facilities]]=1,"Yes","No")</f>
        <v>Yes</v>
      </c>
      <c r="AA126" s="18"/>
      <c r="AB126" s="18" t="str">
        <f>IF(T_MEASURES[[#This Row],[Urban planning]]=1,"Yes","No")</f>
        <v>No</v>
      </c>
      <c r="AC126" s="18"/>
      <c r="AD126" s="18" t="str">
        <f>IF(T_MEASURES[[#This Row],[Culture and Sports]],"Yes","No")</f>
        <v>No</v>
      </c>
      <c r="AE126" s="18"/>
      <c r="AF126" s="18" t="str">
        <f>IF(T_MEASURES[[#This Row],[Tourism]],"Yes","No")</f>
        <v>No</v>
      </c>
      <c r="AG126" s="18"/>
      <c r="AH126" s="18" t="str">
        <f>IF(T_MEASURES[[#This Row],[Occupational risks]],"Yes","No")</f>
        <v>No</v>
      </c>
      <c r="AI126" s="18"/>
      <c r="AJ126" s="18" t="str">
        <f>IF(T_MEASURES[[#This Row],[Education]],"Yes","No")</f>
        <v>No</v>
      </c>
      <c r="AK126" s="18"/>
      <c r="AL126" s="18" t="str">
        <f>IF(T_MEASURES[[#This Row],[Social Services]],"Yes","No")</f>
        <v>No</v>
      </c>
      <c r="AM126" s="18"/>
      <c r="AN126" s="18" t="str">
        <f>IF(T_MEASURES[[#This Row],[Emergency Services and Police]],"Yes","No")</f>
        <v>No</v>
      </c>
      <c r="AO126" s="18"/>
      <c r="AP126" s="18" t="str">
        <f>IF(T_MEASURES[[#This Row],[Parks and gardens (Urban Green Infrastructure)]],"Yes","No")</f>
        <v>No</v>
      </c>
      <c r="AQ126" s="18"/>
      <c r="AR126" s="18" t="str">
        <f>IF(T_MEASURES[[#This Row],[Transport]],"Yes","No")</f>
        <v>No</v>
      </c>
      <c r="AS126" s="158">
        <v>1</v>
      </c>
      <c r="AT126" s="1" t="str">
        <f>IF(T_MEASURES[[#This Row],[Coordination]],"Yes","No")</f>
        <v>Yes</v>
      </c>
      <c r="AU126" s="2">
        <v>1</v>
      </c>
      <c r="AV126" s="1">
        <v>1</v>
      </c>
      <c r="AW126" s="1">
        <v>1</v>
      </c>
      <c r="AX126" s="1">
        <v>1</v>
      </c>
      <c r="AY126" s="3">
        <v>1</v>
      </c>
      <c r="AZ126" s="86">
        <f>SUMPRODUCT($AT$15:$AX$15,T_MEASURES[[#This Row],[&lt;5.000]:[&gt;100.000]])</f>
        <v>1</v>
      </c>
      <c r="BA126" s="1">
        <v>1</v>
      </c>
      <c r="BB126" s="1">
        <v>1</v>
      </c>
      <c r="BC126" s="1">
        <v>1</v>
      </c>
      <c r="BD126" s="1">
        <v>1</v>
      </c>
      <c r="BE126" s="1">
        <v>1</v>
      </c>
      <c r="BF126" s="1">
        <v>1</v>
      </c>
      <c r="BG126" s="1">
        <v>1</v>
      </c>
      <c r="BH126" s="86" cm="1">
        <f t="array" ref="BH126">SUMPRODUCT(--((T_MEASURES[[#This Row],[Health or social care centers]:[Schools / Educational centers]] + $AZ$15:$BF$15)&gt;0))</f>
        <v>7</v>
      </c>
      <c r="BI126" s="88">
        <v>0</v>
      </c>
      <c r="BJ126" s="88">
        <v>0</v>
      </c>
      <c r="BK126" s="88">
        <v>3</v>
      </c>
      <c r="BL126" s="88">
        <v>3</v>
      </c>
      <c r="BM126" s="88">
        <v>3</v>
      </c>
      <c r="BN126" s="88">
        <v>2</v>
      </c>
      <c r="BO126" s="88">
        <v>3</v>
      </c>
      <c r="BP126" s="88">
        <v>3</v>
      </c>
      <c r="BQ126" s="96" cm="1">
        <f t="array" ref="BQ126">T_MEASURES[[#This Row],[Apply size]]*(SUMPRODUCT(T_MEASURES[[#This Row],[C1_Urban Cooling]:[C8_Time]],TRANSPOSE('2.WEIGHTS'!$L$12:$L$19))+(ROW(C126)-ROW($C$18)+1)*0.0000000001)*100</f>
        <v>212.50000109000001</v>
      </c>
      <c r="BR126" s="21"/>
      <c r="BS126" s="38"/>
    </row>
    <row r="127" spans="1:71" ht="33.6" x14ac:dyDescent="0.3">
      <c r="A127" s="21"/>
      <c r="B127" s="38"/>
      <c r="C127" s="21"/>
      <c r="D127" s="86">
        <f>IF(T_MEASURES[[#This Row],[Weight Criterion]]&lt;=0,"",_xlfn.RANK.EQ(T_MEASURES[[#This Row],[Weight Criterion]],T_MEASURES[Weight Criterion]))</f>
        <v>4</v>
      </c>
      <c r="E127" s="152" t="s">
        <v>346</v>
      </c>
      <c r="F127" s="151" t="s">
        <v>431</v>
      </c>
      <c r="G127" s="151" t="s">
        <v>44</v>
      </c>
      <c r="H127" s="151" t="s">
        <v>245</v>
      </c>
      <c r="I127" s="151" t="s">
        <v>347</v>
      </c>
      <c r="J127" s="151"/>
      <c r="K127" s="153"/>
      <c r="L127" s="18"/>
      <c r="M127" s="18"/>
      <c r="N127" s="154" t="str">
        <f t="shared" si="5"/>
        <v>-</v>
      </c>
      <c r="O127" s="155"/>
      <c r="P127" s="155">
        <v>1</v>
      </c>
      <c r="Q127" s="19">
        <v>1</v>
      </c>
      <c r="R127" s="155">
        <v>1</v>
      </c>
      <c r="S127" s="72" t="str">
        <f>IF(T_MEASURES[[#This Row],[No risk (0)]]=1,"■","")</f>
        <v/>
      </c>
      <c r="T127" s="73" t="str">
        <f>IF(T_MEASURES[[#This Row],[Low risk (1)]]=1,"■","")</f>
        <v>■</v>
      </c>
      <c r="U127" s="74" t="str">
        <f>IF(T_MEASURES[[#This Row],[Medium risk (2)]]=1,"■","")</f>
        <v>■</v>
      </c>
      <c r="V127" s="71" t="str">
        <f>IF(T_MEASURES[[#This Row],[High risk (3)]]=1,"■","")</f>
        <v>■</v>
      </c>
      <c r="W127" s="18" t="str">
        <f t="shared" si="4"/>
        <v>4. High (Red)</v>
      </c>
      <c r="X127" s="18">
        <f>COUNT(T_MEASURES[[#This Row],[Buildings and public facilities]:[Coordination]])</f>
        <v>2</v>
      </c>
      <c r="Y127" s="18">
        <v>1</v>
      </c>
      <c r="Z127" s="18" t="str">
        <f>IF(T_MEASURES[[#This Row],[Buildings and public facilities]]=1,"Yes","No")</f>
        <v>Yes</v>
      </c>
      <c r="AA127" s="18"/>
      <c r="AB127" s="18" t="str">
        <f>IF(T_MEASURES[[#This Row],[Urban planning]]=1,"Yes","No")</f>
        <v>No</v>
      </c>
      <c r="AC127" s="18"/>
      <c r="AD127" s="18" t="str">
        <f>IF(T_MEASURES[[#This Row],[Culture and Sports]],"Yes","No")</f>
        <v>No</v>
      </c>
      <c r="AE127" s="18"/>
      <c r="AF127" s="18" t="str">
        <f>IF(T_MEASURES[[#This Row],[Tourism]],"Yes","No")</f>
        <v>No</v>
      </c>
      <c r="AG127" s="18"/>
      <c r="AH127" s="18" t="str">
        <f>IF(T_MEASURES[[#This Row],[Occupational risks]],"Yes","No")</f>
        <v>No</v>
      </c>
      <c r="AI127" s="18"/>
      <c r="AJ127" s="18" t="str">
        <f>IF(T_MEASURES[[#This Row],[Education]],"Yes","No")</f>
        <v>No</v>
      </c>
      <c r="AK127" s="18">
        <v>1</v>
      </c>
      <c r="AL127" s="18" t="str">
        <f>IF(T_MEASURES[[#This Row],[Social Services]],"Yes","No")</f>
        <v>Yes</v>
      </c>
      <c r="AM127" s="18"/>
      <c r="AN127" s="18" t="str">
        <f>IF(T_MEASURES[[#This Row],[Emergency Services and Police]],"Yes","No")</f>
        <v>No</v>
      </c>
      <c r="AO127" s="18"/>
      <c r="AP127" s="18" t="str">
        <f>IF(T_MEASURES[[#This Row],[Parks and gardens (Urban Green Infrastructure)]],"Yes","No")</f>
        <v>No</v>
      </c>
      <c r="AQ127" s="18"/>
      <c r="AR127" s="18" t="str">
        <f>IF(T_MEASURES[[#This Row],[Transport]],"Yes","No")</f>
        <v>No</v>
      </c>
      <c r="AS127" s="158"/>
      <c r="AT127" s="1" t="str">
        <f>IF(T_MEASURES[[#This Row],[Coordination]],"Yes","No")</f>
        <v>No</v>
      </c>
      <c r="AU127" s="2">
        <v>1</v>
      </c>
      <c r="AV127" s="1">
        <v>1</v>
      </c>
      <c r="AW127" s="1">
        <v>1</v>
      </c>
      <c r="AX127" s="1">
        <v>1</v>
      </c>
      <c r="AY127" s="3">
        <v>1</v>
      </c>
      <c r="AZ127" s="86">
        <f>SUMPRODUCT($AT$15:$AX$15,T_MEASURES[[#This Row],[&lt;5.000]:[&gt;100.000]])</f>
        <v>1</v>
      </c>
      <c r="BA127" s="1">
        <v>1</v>
      </c>
      <c r="BB127" s="1">
        <v>1</v>
      </c>
      <c r="BC127" s="1">
        <v>1</v>
      </c>
      <c r="BD127" s="1">
        <v>1</v>
      </c>
      <c r="BE127" s="1">
        <v>1</v>
      </c>
      <c r="BF127" s="1">
        <v>1</v>
      </c>
      <c r="BG127" s="1">
        <v>1</v>
      </c>
      <c r="BH127" s="86" cm="1">
        <f t="array" ref="BH127">SUMPRODUCT(--((T_MEASURES[[#This Row],[Health or social care centers]:[Schools / Educational centers]] + $AZ$15:$BF$15)&gt;0))</f>
        <v>7</v>
      </c>
      <c r="BI127" s="1">
        <v>0</v>
      </c>
      <c r="BJ127" s="1">
        <v>0</v>
      </c>
      <c r="BK127" s="1">
        <v>3</v>
      </c>
      <c r="BL127" s="1">
        <v>3</v>
      </c>
      <c r="BM127" s="1">
        <v>3</v>
      </c>
      <c r="BN127" s="1">
        <v>2</v>
      </c>
      <c r="BO127" s="1">
        <v>3</v>
      </c>
      <c r="BP127" s="1">
        <v>3</v>
      </c>
      <c r="BQ127" s="96" cm="1">
        <f t="array" ref="BQ127">T_MEASURES[[#This Row],[Apply size]]*(SUMPRODUCT(T_MEASURES[[#This Row],[C1_Urban Cooling]:[C8_Time]],TRANSPOSE('2.WEIGHTS'!$L$12:$L$19))+(ROW(C127)-ROW($C$18)+1)*0.0000000001)*100</f>
        <v>212.50000109999999</v>
      </c>
      <c r="BR127" s="21"/>
      <c r="BS127" s="38"/>
    </row>
    <row r="128" spans="1:71" ht="33.6" x14ac:dyDescent="0.3">
      <c r="A128" s="21"/>
      <c r="B128" s="38"/>
      <c r="C128" s="21"/>
      <c r="D128" s="86">
        <f>IF(T_MEASURES[[#This Row],[Weight Criterion]]&lt;=0,"",_xlfn.RANK.EQ(T_MEASURES[[#This Row],[Weight Criterion]],T_MEASURES[Weight Criterion]))</f>
        <v>3</v>
      </c>
      <c r="E128" s="152" t="s">
        <v>348</v>
      </c>
      <c r="F128" s="151" t="s">
        <v>431</v>
      </c>
      <c r="G128" s="151" t="s">
        <v>44</v>
      </c>
      <c r="H128" s="151" t="s">
        <v>245</v>
      </c>
      <c r="I128" s="151" t="s">
        <v>349</v>
      </c>
      <c r="J128" s="151"/>
      <c r="K128" s="153"/>
      <c r="L128" s="18"/>
      <c r="M128" s="18"/>
      <c r="N128" s="154" t="str">
        <f t="shared" si="5"/>
        <v>-</v>
      </c>
      <c r="O128" s="155"/>
      <c r="P128" s="155"/>
      <c r="Q128" s="19">
        <v>1</v>
      </c>
      <c r="R128" s="155"/>
      <c r="S128" s="72" t="str">
        <f>IF(T_MEASURES[[#This Row],[No risk (0)]]=1,"■","")</f>
        <v/>
      </c>
      <c r="T128" s="73" t="str">
        <f>IF(T_MEASURES[[#This Row],[Low risk (1)]]=1,"■","")</f>
        <v/>
      </c>
      <c r="U128" s="74" t="str">
        <f>IF(T_MEASURES[[#This Row],[Medium risk (2)]]=1,"■","")</f>
        <v>■</v>
      </c>
      <c r="V128" s="71" t="str">
        <f>IF(T_MEASURES[[#This Row],[High risk (3)]]=1,"■","")</f>
        <v/>
      </c>
      <c r="W128" s="18" t="str">
        <f t="shared" si="4"/>
        <v>3. Medium (Orange)</v>
      </c>
      <c r="X128" s="18">
        <f>COUNT(T_MEASURES[[#This Row],[Buildings and public facilities]:[Coordination]])</f>
        <v>2</v>
      </c>
      <c r="Y128" s="18"/>
      <c r="Z128" s="18" t="str">
        <f>IF(T_MEASURES[[#This Row],[Buildings and public facilities]]=1,"Yes","No")</f>
        <v>No</v>
      </c>
      <c r="AA128" s="18"/>
      <c r="AB128" s="18" t="str">
        <f>IF(T_MEASURES[[#This Row],[Urban planning]]=1,"Yes","No")</f>
        <v>No</v>
      </c>
      <c r="AC128" s="18"/>
      <c r="AD128" s="18" t="str">
        <f>IF(T_MEASURES[[#This Row],[Culture and Sports]],"Yes","No")</f>
        <v>No</v>
      </c>
      <c r="AE128" s="18"/>
      <c r="AF128" s="18" t="str">
        <f>IF(T_MEASURES[[#This Row],[Tourism]],"Yes","No")</f>
        <v>No</v>
      </c>
      <c r="AG128" s="18"/>
      <c r="AH128" s="18" t="str">
        <f>IF(T_MEASURES[[#This Row],[Occupational risks]],"Yes","No")</f>
        <v>No</v>
      </c>
      <c r="AI128" s="18"/>
      <c r="AJ128" s="18" t="str">
        <f>IF(T_MEASURES[[#This Row],[Education]],"Yes","No")</f>
        <v>No</v>
      </c>
      <c r="AK128" s="18"/>
      <c r="AL128" s="18" t="str">
        <f>IF(T_MEASURES[[#This Row],[Social Services]],"Yes","No")</f>
        <v>No</v>
      </c>
      <c r="AM128" s="18">
        <v>1</v>
      </c>
      <c r="AN128" s="18" t="str">
        <f>IF(T_MEASURES[[#This Row],[Emergency Services and Police]],"Yes","No")</f>
        <v>Yes</v>
      </c>
      <c r="AO128" s="18"/>
      <c r="AP128" s="18" t="str">
        <f>IF(T_MEASURES[[#This Row],[Parks and gardens (Urban Green Infrastructure)]],"Yes","No")</f>
        <v>No</v>
      </c>
      <c r="AQ128" s="18"/>
      <c r="AR128" s="18" t="str">
        <f>IF(T_MEASURES[[#This Row],[Transport]],"Yes","No")</f>
        <v>No</v>
      </c>
      <c r="AS128" s="158">
        <v>1</v>
      </c>
      <c r="AT128" s="1" t="str">
        <f>IF(T_MEASURES[[#This Row],[Coordination]],"Yes","No")</f>
        <v>Yes</v>
      </c>
      <c r="AU128" s="2">
        <v>1</v>
      </c>
      <c r="AV128" s="1">
        <v>1</v>
      </c>
      <c r="AW128" s="1">
        <v>1</v>
      </c>
      <c r="AX128" s="1">
        <v>1</v>
      </c>
      <c r="AY128" s="3">
        <v>1</v>
      </c>
      <c r="AZ128" s="86">
        <f>SUMPRODUCT($AT$15:$AX$15,T_MEASURES[[#This Row],[&lt;5.000]:[&gt;100.000]])</f>
        <v>1</v>
      </c>
      <c r="BA128" s="1">
        <v>1</v>
      </c>
      <c r="BB128" s="1">
        <v>1</v>
      </c>
      <c r="BC128" s="1">
        <v>1</v>
      </c>
      <c r="BD128" s="1">
        <v>1</v>
      </c>
      <c r="BE128" s="1">
        <v>1</v>
      </c>
      <c r="BF128" s="1">
        <v>1</v>
      </c>
      <c r="BG128" s="1">
        <v>1</v>
      </c>
      <c r="BH128" s="86" cm="1">
        <f t="array" ref="BH128">SUMPRODUCT(--((T_MEASURES[[#This Row],[Health or social care centers]:[Schools / Educational centers]] + $AZ$15:$BF$15)&gt;0))</f>
        <v>7</v>
      </c>
      <c r="BI128" s="88">
        <v>0</v>
      </c>
      <c r="BJ128" s="88">
        <v>0</v>
      </c>
      <c r="BK128" s="88">
        <v>3</v>
      </c>
      <c r="BL128" s="88">
        <v>3</v>
      </c>
      <c r="BM128" s="88">
        <v>3</v>
      </c>
      <c r="BN128" s="88">
        <v>2</v>
      </c>
      <c r="BO128" s="88">
        <v>3</v>
      </c>
      <c r="BP128" s="88">
        <v>3</v>
      </c>
      <c r="BQ128" s="96" cm="1">
        <f t="array" ref="BQ128">T_MEASURES[[#This Row],[Apply size]]*(SUMPRODUCT(T_MEASURES[[#This Row],[C1_Urban Cooling]:[C8_Time]],TRANSPOSE('2.WEIGHTS'!$L$12:$L$19))+(ROW(C128)-ROW($C$18)+1)*0.0000000001)*100</f>
        <v>212.50000111</v>
      </c>
      <c r="BR128" s="21"/>
      <c r="BS128" s="38"/>
    </row>
    <row r="129" spans="1:71" ht="33.6" x14ac:dyDescent="0.3">
      <c r="A129" s="21"/>
      <c r="B129" s="38"/>
      <c r="C129" s="21"/>
      <c r="D129" s="86">
        <f>IF(T_MEASURES[[#This Row],[Weight Criterion]]&lt;=0,"",_xlfn.RANK.EQ(T_MEASURES[[#This Row],[Weight Criterion]],T_MEASURES[Weight Criterion]))</f>
        <v>2</v>
      </c>
      <c r="E129" s="152" t="s">
        <v>350</v>
      </c>
      <c r="F129" s="151" t="s">
        <v>431</v>
      </c>
      <c r="G129" s="151" t="s">
        <v>42</v>
      </c>
      <c r="H129" s="151" t="s">
        <v>126</v>
      </c>
      <c r="I129" s="151" t="s">
        <v>351</v>
      </c>
      <c r="J129" s="151"/>
      <c r="K129" s="153"/>
      <c r="L129" s="18"/>
      <c r="M129" s="18"/>
      <c r="N129" s="154" t="str">
        <f t="shared" si="5"/>
        <v>-</v>
      </c>
      <c r="O129" s="155"/>
      <c r="P129" s="155"/>
      <c r="Q129" s="19">
        <v>1</v>
      </c>
      <c r="R129" s="155"/>
      <c r="S129" s="72" t="str">
        <f>IF(T_MEASURES[[#This Row],[No risk (0)]]=1,"■","")</f>
        <v/>
      </c>
      <c r="T129" s="73" t="str">
        <f>IF(T_MEASURES[[#This Row],[Low risk (1)]]=1,"■","")</f>
        <v/>
      </c>
      <c r="U129" s="74" t="str">
        <f>IF(T_MEASURES[[#This Row],[Medium risk (2)]]=1,"■","")</f>
        <v>■</v>
      </c>
      <c r="V129" s="71" t="str">
        <f>IF(T_MEASURES[[#This Row],[High risk (3)]]=1,"■","")</f>
        <v/>
      </c>
      <c r="W129" s="18" t="str">
        <f t="shared" si="4"/>
        <v>3. Medium (Orange)</v>
      </c>
      <c r="X129" s="18">
        <f>COUNT(T_MEASURES[[#This Row],[Buildings and public facilities]:[Coordination]])</f>
        <v>2</v>
      </c>
      <c r="Y129" s="18"/>
      <c r="Z129" s="18" t="str">
        <f>IF(T_MEASURES[[#This Row],[Buildings and public facilities]]=1,"Yes","No")</f>
        <v>No</v>
      </c>
      <c r="AA129" s="18"/>
      <c r="AB129" s="18" t="str">
        <f>IF(T_MEASURES[[#This Row],[Urban planning]]=1,"Yes","No")</f>
        <v>No</v>
      </c>
      <c r="AC129" s="18"/>
      <c r="AD129" s="18" t="str">
        <f>IF(T_MEASURES[[#This Row],[Culture and Sports]],"Yes","No")</f>
        <v>No</v>
      </c>
      <c r="AE129" s="18"/>
      <c r="AF129" s="18" t="str">
        <f>IF(T_MEASURES[[#This Row],[Tourism]],"Yes","No")</f>
        <v>No</v>
      </c>
      <c r="AG129" s="18"/>
      <c r="AH129" s="18" t="str">
        <f>IF(T_MEASURES[[#This Row],[Occupational risks]],"Yes","No")</f>
        <v>No</v>
      </c>
      <c r="AI129" s="18"/>
      <c r="AJ129" s="18" t="str">
        <f>IF(T_MEASURES[[#This Row],[Education]],"Yes","No")</f>
        <v>No</v>
      </c>
      <c r="AK129" s="18"/>
      <c r="AL129" s="18" t="str">
        <f>IF(T_MEASURES[[#This Row],[Social Services]],"Yes","No")</f>
        <v>No</v>
      </c>
      <c r="AM129" s="18">
        <v>1</v>
      </c>
      <c r="AN129" s="18" t="str">
        <f>IF(T_MEASURES[[#This Row],[Emergency Services and Police]],"Yes","No")</f>
        <v>Yes</v>
      </c>
      <c r="AO129" s="18"/>
      <c r="AP129" s="18" t="str">
        <f>IF(T_MEASURES[[#This Row],[Parks and gardens (Urban Green Infrastructure)]],"Yes","No")</f>
        <v>No</v>
      </c>
      <c r="AQ129" s="18"/>
      <c r="AR129" s="18" t="str">
        <f>IF(T_MEASURES[[#This Row],[Transport]],"Yes","No")</f>
        <v>No</v>
      </c>
      <c r="AS129" s="158">
        <v>1</v>
      </c>
      <c r="AT129" s="1" t="str">
        <f>IF(T_MEASURES[[#This Row],[Coordination]],"Yes","No")</f>
        <v>Yes</v>
      </c>
      <c r="AU129" s="2">
        <v>1</v>
      </c>
      <c r="AV129" s="1">
        <v>1</v>
      </c>
      <c r="AW129" s="1">
        <v>1</v>
      </c>
      <c r="AX129" s="1">
        <v>1</v>
      </c>
      <c r="AY129" s="3">
        <v>1</v>
      </c>
      <c r="AZ129" s="86">
        <f>SUMPRODUCT($AT$15:$AX$15,T_MEASURES[[#This Row],[&lt;5.000]:[&gt;100.000]])</f>
        <v>1</v>
      </c>
      <c r="BA129" s="1">
        <v>1</v>
      </c>
      <c r="BB129" s="1">
        <v>1</v>
      </c>
      <c r="BC129" s="1">
        <v>1</v>
      </c>
      <c r="BD129" s="1">
        <v>1</v>
      </c>
      <c r="BE129" s="1">
        <v>1</v>
      </c>
      <c r="BF129" s="1">
        <v>1</v>
      </c>
      <c r="BG129" s="1">
        <v>1</v>
      </c>
      <c r="BH129" s="86" cm="1">
        <f t="array" ref="BH129">SUMPRODUCT(--((T_MEASURES[[#This Row],[Health or social care centers]:[Schools / Educational centers]] + $AZ$15:$BF$15)&gt;0))</f>
        <v>7</v>
      </c>
      <c r="BI129" s="1">
        <v>0</v>
      </c>
      <c r="BJ129" s="1">
        <v>0</v>
      </c>
      <c r="BK129" s="1">
        <v>3</v>
      </c>
      <c r="BL129" s="1">
        <v>3</v>
      </c>
      <c r="BM129" s="1">
        <v>3</v>
      </c>
      <c r="BN129" s="1">
        <v>2</v>
      </c>
      <c r="BO129" s="1">
        <v>3</v>
      </c>
      <c r="BP129" s="1">
        <v>3</v>
      </c>
      <c r="BQ129" s="96" cm="1">
        <f t="array" ref="BQ129">T_MEASURES[[#This Row],[Apply size]]*(SUMPRODUCT(T_MEASURES[[#This Row],[C1_Urban Cooling]:[C8_Time]],TRANSPOSE('2.WEIGHTS'!$L$12:$L$19))+(ROW(C129)-ROW($C$18)+1)*0.0000000001)*100</f>
        <v>212.50000112000001</v>
      </c>
      <c r="BR129" s="21"/>
      <c r="BS129" s="38"/>
    </row>
    <row r="130" spans="1:71" ht="33.6" x14ac:dyDescent="0.3">
      <c r="A130" s="21"/>
      <c r="B130" s="38"/>
      <c r="C130" s="21"/>
      <c r="D130" s="86">
        <f>IF(T_MEASURES[[#This Row],[Weight Criterion]]&lt;=0,"",_xlfn.RANK.EQ(T_MEASURES[[#This Row],[Weight Criterion]],T_MEASURES[Weight Criterion]))</f>
        <v>84</v>
      </c>
      <c r="E130" s="152" t="s">
        <v>352</v>
      </c>
      <c r="F130" s="151" t="s">
        <v>431</v>
      </c>
      <c r="G130" s="151" t="s">
        <v>42</v>
      </c>
      <c r="H130" s="151" t="s">
        <v>126</v>
      </c>
      <c r="I130" s="151" t="s">
        <v>353</v>
      </c>
      <c r="J130" s="151"/>
      <c r="K130" s="153"/>
      <c r="L130" s="18"/>
      <c r="M130" s="18"/>
      <c r="N130" s="154" t="str">
        <f t="shared" si="5"/>
        <v>-</v>
      </c>
      <c r="O130" s="155"/>
      <c r="P130" s="155"/>
      <c r="Q130" s="19">
        <v>1</v>
      </c>
      <c r="R130" s="155"/>
      <c r="S130" s="72" t="str">
        <f>IF(T_MEASURES[[#This Row],[No risk (0)]]=1,"■","")</f>
        <v/>
      </c>
      <c r="T130" s="73" t="str">
        <f>IF(T_MEASURES[[#This Row],[Low risk (1)]]=1,"■","")</f>
        <v/>
      </c>
      <c r="U130" s="74" t="str">
        <f>IF(T_MEASURES[[#This Row],[Medium risk (2)]]=1,"■","")</f>
        <v>■</v>
      </c>
      <c r="V130" s="71" t="str">
        <f>IF(T_MEASURES[[#This Row],[High risk (3)]]=1,"■","")</f>
        <v/>
      </c>
      <c r="W130" s="18" t="str">
        <f t="shared" si="4"/>
        <v>3. Medium (Orange)</v>
      </c>
      <c r="X130" s="18">
        <f>COUNT(T_MEASURES[[#This Row],[Buildings and public facilities]:[Coordination]])</f>
        <v>2</v>
      </c>
      <c r="Y130" s="18"/>
      <c r="Z130" s="18" t="str">
        <f>IF(T_MEASURES[[#This Row],[Buildings and public facilities]]=1,"Yes","No")</f>
        <v>No</v>
      </c>
      <c r="AA130" s="18"/>
      <c r="AB130" s="18" t="str">
        <f>IF(T_MEASURES[[#This Row],[Urban planning]]=1,"Yes","No")</f>
        <v>No</v>
      </c>
      <c r="AC130" s="18"/>
      <c r="AD130" s="18" t="str">
        <f>IF(T_MEASURES[[#This Row],[Culture and Sports]],"Yes","No")</f>
        <v>No</v>
      </c>
      <c r="AE130" s="18"/>
      <c r="AF130" s="18" t="str">
        <f>IF(T_MEASURES[[#This Row],[Tourism]],"Yes","No")</f>
        <v>No</v>
      </c>
      <c r="AG130" s="18"/>
      <c r="AH130" s="18" t="str">
        <f>IF(T_MEASURES[[#This Row],[Occupational risks]],"Yes","No")</f>
        <v>No</v>
      </c>
      <c r="AI130" s="18"/>
      <c r="AJ130" s="18" t="str">
        <f>IF(T_MEASURES[[#This Row],[Education]],"Yes","No")</f>
        <v>No</v>
      </c>
      <c r="AK130" s="18"/>
      <c r="AL130" s="18" t="str">
        <f>IF(T_MEASURES[[#This Row],[Social Services]],"Yes","No")</f>
        <v>No</v>
      </c>
      <c r="AM130" s="18">
        <v>1</v>
      </c>
      <c r="AN130" s="18" t="str">
        <f>IF(T_MEASURES[[#This Row],[Emergency Services and Police]],"Yes","No")</f>
        <v>Yes</v>
      </c>
      <c r="AO130" s="18"/>
      <c r="AP130" s="18" t="str">
        <f>IF(T_MEASURES[[#This Row],[Parks and gardens (Urban Green Infrastructure)]],"Yes","No")</f>
        <v>No</v>
      </c>
      <c r="AQ130" s="18"/>
      <c r="AR130" s="18" t="str">
        <f>IF(T_MEASURES[[#This Row],[Transport]],"Yes","No")</f>
        <v>No</v>
      </c>
      <c r="AS130" s="158">
        <v>1</v>
      </c>
      <c r="AT130" s="1" t="str">
        <f>IF(T_MEASURES[[#This Row],[Coordination]],"Yes","No")</f>
        <v>Yes</v>
      </c>
      <c r="AU130" s="2">
        <v>1</v>
      </c>
      <c r="AV130" s="1">
        <v>1</v>
      </c>
      <c r="AW130" s="1">
        <v>1</v>
      </c>
      <c r="AX130" s="1">
        <v>1</v>
      </c>
      <c r="AY130" s="3">
        <v>1</v>
      </c>
      <c r="AZ130" s="86">
        <f>SUMPRODUCT($AT$15:$AX$15,T_MEASURES[[#This Row],[&lt;5.000]:[&gt;100.000]])</f>
        <v>1</v>
      </c>
      <c r="BA130" s="1">
        <v>1</v>
      </c>
      <c r="BB130" s="1">
        <v>1</v>
      </c>
      <c r="BC130" s="1">
        <v>1</v>
      </c>
      <c r="BD130" s="1">
        <v>1</v>
      </c>
      <c r="BE130" s="1">
        <v>1</v>
      </c>
      <c r="BF130" s="1">
        <v>1</v>
      </c>
      <c r="BG130" s="1">
        <v>1</v>
      </c>
      <c r="BH130" s="86" cm="1">
        <f t="array" ref="BH130">SUMPRODUCT(--((T_MEASURES[[#This Row],[Health or social care centers]:[Schools / Educational centers]] + $AZ$15:$BF$15)&gt;0))</f>
        <v>7</v>
      </c>
      <c r="BI130" s="88">
        <v>0</v>
      </c>
      <c r="BJ130" s="88">
        <v>0</v>
      </c>
      <c r="BK130" s="88">
        <v>2</v>
      </c>
      <c r="BL130" s="88">
        <v>3</v>
      </c>
      <c r="BM130" s="88">
        <v>3</v>
      </c>
      <c r="BN130" s="88">
        <v>2</v>
      </c>
      <c r="BO130" s="88">
        <v>2</v>
      </c>
      <c r="BP130" s="88">
        <v>2</v>
      </c>
      <c r="BQ130" s="96" cm="1">
        <f t="array" ref="BQ130">T_MEASURES[[#This Row],[Apply size]]*(SUMPRODUCT(T_MEASURES[[#This Row],[C1_Urban Cooling]:[C8_Time]],TRANSPOSE('2.WEIGHTS'!$L$12:$L$19))+(ROW(C130)-ROW($C$18)+1)*0.0000000001)*100</f>
        <v>175.00000113000002</v>
      </c>
      <c r="BR130" s="21"/>
      <c r="BS130" s="38"/>
    </row>
    <row r="131" spans="1:71" ht="33.6" x14ac:dyDescent="0.3">
      <c r="A131" s="21"/>
      <c r="B131" s="38"/>
      <c r="C131" s="21"/>
      <c r="D131" s="86">
        <f>IF(T_MEASURES[[#This Row],[Weight Criterion]]&lt;=0,"",_xlfn.RANK.EQ(T_MEASURES[[#This Row],[Weight Criterion]],T_MEASURES[Weight Criterion]))</f>
        <v>57</v>
      </c>
      <c r="E131" s="152" t="s">
        <v>354</v>
      </c>
      <c r="F131" s="151" t="s">
        <v>431</v>
      </c>
      <c r="G131" s="151" t="s">
        <v>42</v>
      </c>
      <c r="H131" s="151" t="s">
        <v>126</v>
      </c>
      <c r="I131" s="150" t="s">
        <v>355</v>
      </c>
      <c r="J131" s="150"/>
      <c r="K131" s="153"/>
      <c r="L131" s="18"/>
      <c r="M131" s="18"/>
      <c r="N131" s="154" t="str">
        <f t="shared" si="5"/>
        <v>-</v>
      </c>
      <c r="O131" s="155"/>
      <c r="P131" s="155"/>
      <c r="Q131" s="19"/>
      <c r="R131" s="155">
        <v>1</v>
      </c>
      <c r="S131" s="72" t="str">
        <f>IF(T_MEASURES[[#This Row],[No risk (0)]]=1,"■","")</f>
        <v/>
      </c>
      <c r="T131" s="73" t="str">
        <f>IF(T_MEASURES[[#This Row],[Low risk (1)]]=1,"■","")</f>
        <v/>
      </c>
      <c r="U131" s="74" t="str">
        <f>IF(T_MEASURES[[#This Row],[Medium risk (2)]]=1,"■","")</f>
        <v/>
      </c>
      <c r="V131" s="71" t="str">
        <f>IF(T_MEASURES[[#This Row],[High risk (3)]]=1,"■","")</f>
        <v>■</v>
      </c>
      <c r="W131" s="18" t="str">
        <f t="shared" si="4"/>
        <v>4. High (Red)</v>
      </c>
      <c r="X131" s="18">
        <f>COUNT(T_MEASURES[[#This Row],[Buildings and public facilities]:[Coordination]])</f>
        <v>2</v>
      </c>
      <c r="Y131" s="18"/>
      <c r="Z131" s="18" t="str">
        <f>IF(T_MEASURES[[#This Row],[Buildings and public facilities]]=1,"Yes","No")</f>
        <v>No</v>
      </c>
      <c r="AA131" s="18"/>
      <c r="AB131" s="18" t="str">
        <f>IF(T_MEASURES[[#This Row],[Urban planning]]=1,"Yes","No")</f>
        <v>No</v>
      </c>
      <c r="AC131" s="18"/>
      <c r="AD131" s="18" t="str">
        <f>IF(T_MEASURES[[#This Row],[Culture and Sports]],"Yes","No")</f>
        <v>No</v>
      </c>
      <c r="AE131" s="18"/>
      <c r="AF131" s="18" t="str">
        <f>IF(T_MEASURES[[#This Row],[Tourism]],"Yes","No")</f>
        <v>No</v>
      </c>
      <c r="AG131" s="18"/>
      <c r="AH131" s="18" t="str">
        <f>IF(T_MEASURES[[#This Row],[Occupational risks]],"Yes","No")</f>
        <v>No</v>
      </c>
      <c r="AI131" s="18"/>
      <c r="AJ131" s="18" t="str">
        <f>IF(T_MEASURES[[#This Row],[Education]],"Yes","No")</f>
        <v>No</v>
      </c>
      <c r="AK131" s="18"/>
      <c r="AL131" s="18" t="str">
        <f>IF(T_MEASURES[[#This Row],[Social Services]],"Yes","No")</f>
        <v>No</v>
      </c>
      <c r="AM131" s="18">
        <v>1</v>
      </c>
      <c r="AN131" s="18" t="str">
        <f>IF(T_MEASURES[[#This Row],[Emergency Services and Police]],"Yes","No")</f>
        <v>Yes</v>
      </c>
      <c r="AO131" s="18"/>
      <c r="AP131" s="18" t="str">
        <f>IF(T_MEASURES[[#This Row],[Parks and gardens (Urban Green Infrastructure)]],"Yes","No")</f>
        <v>No</v>
      </c>
      <c r="AQ131" s="18"/>
      <c r="AR131" s="18" t="str">
        <f>IF(T_MEASURES[[#This Row],[Transport]],"Yes","No")</f>
        <v>No</v>
      </c>
      <c r="AS131" s="158">
        <v>1</v>
      </c>
      <c r="AT131" s="1" t="str">
        <f>IF(T_MEASURES[[#This Row],[Coordination]],"Yes","No")</f>
        <v>Yes</v>
      </c>
      <c r="AU131" s="2">
        <v>1</v>
      </c>
      <c r="AV131" s="1">
        <v>1</v>
      </c>
      <c r="AW131" s="1">
        <v>1</v>
      </c>
      <c r="AX131" s="1">
        <v>1</v>
      </c>
      <c r="AY131" s="3">
        <v>1</v>
      </c>
      <c r="AZ131" s="86">
        <f>SUMPRODUCT($AT$15:$AX$15,T_MEASURES[[#This Row],[&lt;5.000]:[&gt;100.000]])</f>
        <v>1</v>
      </c>
      <c r="BA131" s="1">
        <v>1</v>
      </c>
      <c r="BB131" s="1">
        <v>1</v>
      </c>
      <c r="BC131" s="1">
        <v>1</v>
      </c>
      <c r="BD131" s="1">
        <v>1</v>
      </c>
      <c r="BE131" s="1">
        <v>1</v>
      </c>
      <c r="BF131" s="1">
        <v>1</v>
      </c>
      <c r="BG131" s="1">
        <v>1</v>
      </c>
      <c r="BH131" s="86" cm="1">
        <f t="array" ref="BH131">SUMPRODUCT(--((T_MEASURES[[#This Row],[Health or social care centers]:[Schools / Educational centers]] + $AZ$15:$BF$15)&gt;0))</f>
        <v>7</v>
      </c>
      <c r="BI131" s="1">
        <v>0</v>
      </c>
      <c r="BJ131" s="1">
        <v>0</v>
      </c>
      <c r="BK131" s="1">
        <v>2</v>
      </c>
      <c r="BL131" s="1">
        <v>3</v>
      </c>
      <c r="BM131" s="1">
        <v>3</v>
      </c>
      <c r="BN131" s="1">
        <v>2</v>
      </c>
      <c r="BO131" s="1">
        <v>2</v>
      </c>
      <c r="BP131" s="1">
        <v>3</v>
      </c>
      <c r="BQ131" s="96" cm="1">
        <f t="array" ref="BQ131">T_MEASURES[[#This Row],[Apply size]]*(SUMPRODUCT(T_MEASURES[[#This Row],[C1_Urban Cooling]:[C8_Time]],TRANSPOSE('2.WEIGHTS'!$L$12:$L$19))+(ROW(C131)-ROW($C$18)+1)*0.0000000001)*100</f>
        <v>187.50000113999999</v>
      </c>
      <c r="BR131" s="21"/>
      <c r="BS131" s="38"/>
    </row>
    <row r="132" spans="1:71" ht="33.6" x14ac:dyDescent="0.3">
      <c r="A132" s="21"/>
      <c r="B132" s="38"/>
      <c r="C132" s="21"/>
      <c r="D132" s="86">
        <f>IF(T_MEASURES[[#This Row],[Weight Criterion]]&lt;=0,"",_xlfn.RANK.EQ(T_MEASURES[[#This Row],[Weight Criterion]],T_MEASURES[Weight Criterion]))</f>
        <v>56</v>
      </c>
      <c r="E132" s="152" t="s">
        <v>356</v>
      </c>
      <c r="F132" s="151" t="s">
        <v>431</v>
      </c>
      <c r="G132" s="151" t="s">
        <v>42</v>
      </c>
      <c r="H132" s="151" t="s">
        <v>126</v>
      </c>
      <c r="I132" s="151" t="s">
        <v>357</v>
      </c>
      <c r="J132" s="151"/>
      <c r="K132" s="153"/>
      <c r="L132" s="18"/>
      <c r="M132" s="18"/>
      <c r="N132" s="154" t="str">
        <f t="shared" si="5"/>
        <v>-</v>
      </c>
      <c r="O132" s="155"/>
      <c r="P132" s="155"/>
      <c r="Q132" s="19"/>
      <c r="R132" s="155">
        <v>1</v>
      </c>
      <c r="S132" s="72" t="str">
        <f>IF(T_MEASURES[[#This Row],[No risk (0)]]=1,"■","")</f>
        <v/>
      </c>
      <c r="T132" s="73" t="str">
        <f>IF(T_MEASURES[[#This Row],[Low risk (1)]]=1,"■","")</f>
        <v/>
      </c>
      <c r="U132" s="74" t="str">
        <f>IF(T_MEASURES[[#This Row],[Medium risk (2)]]=1,"■","")</f>
        <v/>
      </c>
      <c r="V132" s="71" t="str">
        <f>IF(T_MEASURES[[#This Row],[High risk (3)]]=1,"■","")</f>
        <v>■</v>
      </c>
      <c r="W132" s="18" t="str">
        <f t="shared" si="4"/>
        <v>4. High (Red)</v>
      </c>
      <c r="X132" s="18">
        <f>COUNT(T_MEASURES[[#This Row],[Buildings and public facilities]:[Coordination]])</f>
        <v>2</v>
      </c>
      <c r="Y132" s="18"/>
      <c r="Z132" s="18" t="str">
        <f>IF(T_MEASURES[[#This Row],[Buildings and public facilities]]=1,"Yes","No")</f>
        <v>No</v>
      </c>
      <c r="AA132" s="18"/>
      <c r="AB132" s="18" t="str">
        <f>IF(T_MEASURES[[#This Row],[Urban planning]]=1,"Yes","No")</f>
        <v>No</v>
      </c>
      <c r="AC132" s="18"/>
      <c r="AD132" s="18" t="str">
        <f>IF(T_MEASURES[[#This Row],[Culture and Sports]],"Yes","No")</f>
        <v>No</v>
      </c>
      <c r="AE132" s="18"/>
      <c r="AF132" s="18" t="str">
        <f>IF(T_MEASURES[[#This Row],[Tourism]],"Yes","No")</f>
        <v>No</v>
      </c>
      <c r="AG132" s="18"/>
      <c r="AH132" s="18" t="str">
        <f>IF(T_MEASURES[[#This Row],[Occupational risks]],"Yes","No")</f>
        <v>No</v>
      </c>
      <c r="AI132" s="18"/>
      <c r="AJ132" s="18" t="str">
        <f>IF(T_MEASURES[[#This Row],[Education]],"Yes","No")</f>
        <v>No</v>
      </c>
      <c r="AK132" s="18"/>
      <c r="AL132" s="18" t="str">
        <f>IF(T_MEASURES[[#This Row],[Social Services]],"Yes","No")</f>
        <v>No</v>
      </c>
      <c r="AM132" s="18">
        <v>1</v>
      </c>
      <c r="AN132" s="18" t="str">
        <f>IF(T_MEASURES[[#This Row],[Emergency Services and Police]],"Yes","No")</f>
        <v>Yes</v>
      </c>
      <c r="AO132" s="18"/>
      <c r="AP132" s="18" t="str">
        <f>IF(T_MEASURES[[#This Row],[Parks and gardens (Urban Green Infrastructure)]],"Yes","No")</f>
        <v>No</v>
      </c>
      <c r="AQ132" s="18"/>
      <c r="AR132" s="18" t="str">
        <f>IF(T_MEASURES[[#This Row],[Transport]],"Yes","No")</f>
        <v>No</v>
      </c>
      <c r="AS132" s="158">
        <v>1</v>
      </c>
      <c r="AT132" s="1" t="str">
        <f>IF(T_MEASURES[[#This Row],[Coordination]],"Yes","No")</f>
        <v>Yes</v>
      </c>
      <c r="AU132" s="2">
        <v>1</v>
      </c>
      <c r="AV132" s="1">
        <v>1</v>
      </c>
      <c r="AW132" s="1">
        <v>1</v>
      </c>
      <c r="AX132" s="1">
        <v>1</v>
      </c>
      <c r="AY132" s="3">
        <v>1</v>
      </c>
      <c r="AZ132" s="86">
        <f>SUMPRODUCT($AT$15:$AX$15,T_MEASURES[[#This Row],[&lt;5.000]:[&gt;100.000]])</f>
        <v>1</v>
      </c>
      <c r="BA132" s="1">
        <v>1</v>
      </c>
      <c r="BB132" s="1">
        <v>1</v>
      </c>
      <c r="BC132" s="1">
        <v>1</v>
      </c>
      <c r="BD132" s="1">
        <v>1</v>
      </c>
      <c r="BE132" s="1">
        <v>1</v>
      </c>
      <c r="BF132" s="1">
        <v>1</v>
      </c>
      <c r="BG132" s="1">
        <v>1</v>
      </c>
      <c r="BH132" s="86" cm="1">
        <f t="array" ref="BH132">SUMPRODUCT(--((T_MEASURES[[#This Row],[Health or social care centers]:[Schools / Educational centers]] + $AZ$15:$BF$15)&gt;0))</f>
        <v>7</v>
      </c>
      <c r="BI132" s="88">
        <v>0</v>
      </c>
      <c r="BJ132" s="88">
        <v>0</v>
      </c>
      <c r="BK132" s="88">
        <v>2</v>
      </c>
      <c r="BL132" s="88">
        <v>3</v>
      </c>
      <c r="BM132" s="88">
        <v>3</v>
      </c>
      <c r="BN132" s="88">
        <v>2</v>
      </c>
      <c r="BO132" s="88">
        <v>2</v>
      </c>
      <c r="BP132" s="88">
        <v>3</v>
      </c>
      <c r="BQ132" s="96" cm="1">
        <f t="array" ref="BQ132">T_MEASURES[[#This Row],[Apply size]]*(SUMPRODUCT(T_MEASURES[[#This Row],[C1_Urban Cooling]:[C8_Time]],TRANSPOSE('2.WEIGHTS'!$L$12:$L$19))+(ROW(C132)-ROW($C$18)+1)*0.0000000001)*100</f>
        <v>187.50000115</v>
      </c>
      <c r="BR132" s="21"/>
      <c r="BS132" s="38"/>
    </row>
    <row r="133" spans="1:71" ht="33.6" x14ac:dyDescent="0.3">
      <c r="A133" s="21"/>
      <c r="B133" s="38"/>
      <c r="C133" s="21"/>
      <c r="D133" s="86">
        <f>IF(T_MEASURES[[#This Row],[Weight Criterion]]&lt;=0,"",_xlfn.RANK.EQ(T_MEASURES[[#This Row],[Weight Criterion]],T_MEASURES[Weight Criterion]))</f>
        <v>83</v>
      </c>
      <c r="E133" s="152" t="s">
        <v>358</v>
      </c>
      <c r="F133" s="151" t="s">
        <v>431</v>
      </c>
      <c r="G133" s="151" t="s">
        <v>42</v>
      </c>
      <c r="H133" s="151" t="s">
        <v>126</v>
      </c>
      <c r="I133" s="151" t="s">
        <v>359</v>
      </c>
      <c r="J133" s="151"/>
      <c r="K133" s="153"/>
      <c r="L133" s="18"/>
      <c r="M133" s="18"/>
      <c r="N133" s="154" t="str">
        <f t="shared" si="5"/>
        <v>-</v>
      </c>
      <c r="O133" s="155"/>
      <c r="P133" s="155"/>
      <c r="Q133" s="19"/>
      <c r="R133" s="155">
        <v>1</v>
      </c>
      <c r="S133" s="72" t="str">
        <f>IF(T_MEASURES[[#This Row],[No risk (0)]]=1,"■","")</f>
        <v/>
      </c>
      <c r="T133" s="73" t="str">
        <f>IF(T_MEASURES[[#This Row],[Low risk (1)]]=1,"■","")</f>
        <v/>
      </c>
      <c r="U133" s="74" t="str">
        <f>IF(T_MEASURES[[#This Row],[Medium risk (2)]]=1,"■","")</f>
        <v/>
      </c>
      <c r="V133" s="71" t="str">
        <f>IF(T_MEASURES[[#This Row],[High risk (3)]]=1,"■","")</f>
        <v>■</v>
      </c>
      <c r="W133" s="18" t="str">
        <f t="shared" si="4"/>
        <v>4. High (Red)</v>
      </c>
      <c r="X133" s="18">
        <f>COUNT(T_MEASURES[[#This Row],[Buildings and public facilities]:[Coordination]])</f>
        <v>2</v>
      </c>
      <c r="Y133" s="18"/>
      <c r="Z133" s="18" t="str">
        <f>IF(T_MEASURES[[#This Row],[Buildings and public facilities]]=1,"Yes","No")</f>
        <v>No</v>
      </c>
      <c r="AA133" s="18"/>
      <c r="AB133" s="18" t="str">
        <f>IF(T_MEASURES[[#This Row],[Urban planning]]=1,"Yes","No")</f>
        <v>No</v>
      </c>
      <c r="AC133" s="18"/>
      <c r="AD133" s="18" t="str">
        <f>IF(T_MEASURES[[#This Row],[Culture and Sports]],"Yes","No")</f>
        <v>No</v>
      </c>
      <c r="AE133" s="18"/>
      <c r="AF133" s="18" t="str">
        <f>IF(T_MEASURES[[#This Row],[Tourism]],"Yes","No")</f>
        <v>No</v>
      </c>
      <c r="AG133" s="18"/>
      <c r="AH133" s="18" t="str">
        <f>IF(T_MEASURES[[#This Row],[Occupational risks]],"Yes","No")</f>
        <v>No</v>
      </c>
      <c r="AI133" s="18"/>
      <c r="AJ133" s="18" t="str">
        <f>IF(T_MEASURES[[#This Row],[Education]],"Yes","No")</f>
        <v>No</v>
      </c>
      <c r="AK133" s="18"/>
      <c r="AL133" s="18" t="str">
        <f>IF(T_MEASURES[[#This Row],[Social Services]],"Yes","No")</f>
        <v>No</v>
      </c>
      <c r="AM133" s="18">
        <v>1</v>
      </c>
      <c r="AN133" s="18" t="str">
        <f>IF(T_MEASURES[[#This Row],[Emergency Services and Police]],"Yes","No")</f>
        <v>Yes</v>
      </c>
      <c r="AO133" s="18"/>
      <c r="AP133" s="18" t="str">
        <f>IF(T_MEASURES[[#This Row],[Parks and gardens (Urban Green Infrastructure)]],"Yes","No")</f>
        <v>No</v>
      </c>
      <c r="AQ133" s="18"/>
      <c r="AR133" s="18" t="str">
        <f>IF(T_MEASURES[[#This Row],[Transport]],"Yes","No")</f>
        <v>No</v>
      </c>
      <c r="AS133" s="158">
        <v>1</v>
      </c>
      <c r="AT133" s="1" t="str">
        <f>IF(T_MEASURES[[#This Row],[Coordination]],"Yes","No")</f>
        <v>Yes</v>
      </c>
      <c r="AU133" s="2">
        <v>1</v>
      </c>
      <c r="AV133" s="1">
        <v>1</v>
      </c>
      <c r="AW133" s="1">
        <v>1</v>
      </c>
      <c r="AX133" s="1">
        <v>1</v>
      </c>
      <c r="AY133" s="3">
        <v>1</v>
      </c>
      <c r="AZ133" s="86">
        <f>SUMPRODUCT($AT$15:$AX$15,T_MEASURES[[#This Row],[&lt;5.000]:[&gt;100.000]])</f>
        <v>1</v>
      </c>
      <c r="BA133" s="1">
        <v>1</v>
      </c>
      <c r="BB133" s="1">
        <v>1</v>
      </c>
      <c r="BC133" s="1">
        <v>1</v>
      </c>
      <c r="BD133" s="1">
        <v>1</v>
      </c>
      <c r="BE133" s="1">
        <v>1</v>
      </c>
      <c r="BF133" s="1">
        <v>1</v>
      </c>
      <c r="BG133" s="1">
        <v>1</v>
      </c>
      <c r="BH133" s="86" cm="1">
        <f t="array" ref="BH133">SUMPRODUCT(--((T_MEASURES[[#This Row],[Health or social care centers]:[Schools / Educational centers]] + $AZ$15:$BF$15)&gt;0))</f>
        <v>7</v>
      </c>
      <c r="BI133" s="1">
        <v>0</v>
      </c>
      <c r="BJ133" s="1">
        <v>0</v>
      </c>
      <c r="BK133" s="1">
        <v>2</v>
      </c>
      <c r="BL133" s="1">
        <v>3</v>
      </c>
      <c r="BM133" s="1">
        <v>3</v>
      </c>
      <c r="BN133" s="1">
        <v>2</v>
      </c>
      <c r="BO133" s="1">
        <v>2</v>
      </c>
      <c r="BP133" s="1">
        <v>2</v>
      </c>
      <c r="BQ133" s="96" cm="1">
        <f t="array" ref="BQ133">T_MEASURES[[#This Row],[Apply size]]*(SUMPRODUCT(T_MEASURES[[#This Row],[C1_Urban Cooling]:[C8_Time]],TRANSPOSE('2.WEIGHTS'!$L$12:$L$19))+(ROW(C133)-ROW($C$18)+1)*0.0000000001)*100</f>
        <v>175.00000116000001</v>
      </c>
      <c r="BR133" s="21"/>
      <c r="BS133" s="38"/>
    </row>
    <row r="134" spans="1:71" ht="33.6" x14ac:dyDescent="0.3">
      <c r="A134" s="21"/>
      <c r="B134" s="38"/>
      <c r="C134" s="21"/>
      <c r="D134" s="86">
        <f>IF(T_MEASURES[[#This Row],[Weight Criterion]]&lt;=0,"",_xlfn.RANK.EQ(T_MEASURES[[#This Row],[Weight Criterion]],T_MEASURES[Weight Criterion]))</f>
        <v>55</v>
      </c>
      <c r="E134" s="152" t="s">
        <v>360</v>
      </c>
      <c r="F134" s="150" t="s">
        <v>56</v>
      </c>
      <c r="G134" s="150" t="s">
        <v>42</v>
      </c>
      <c r="H134" s="150" t="s">
        <v>135</v>
      </c>
      <c r="I134" s="150" t="s">
        <v>361</v>
      </c>
      <c r="J134" s="150"/>
      <c r="K134" s="153">
        <v>1</v>
      </c>
      <c r="L134" s="18"/>
      <c r="M134" s="18"/>
      <c r="N134" s="154" t="str">
        <f t="shared" si="5"/>
        <v>€</v>
      </c>
      <c r="O134" s="155"/>
      <c r="P134" s="155">
        <v>1</v>
      </c>
      <c r="Q134" s="19">
        <v>1</v>
      </c>
      <c r="R134" s="155">
        <v>1</v>
      </c>
      <c r="S134" s="72" t="str">
        <f>IF(T_MEASURES[[#This Row],[No risk (0)]]=1,"■","")</f>
        <v/>
      </c>
      <c r="T134" s="73" t="str">
        <f>IF(T_MEASURES[[#This Row],[Low risk (1)]]=1,"■","")</f>
        <v>■</v>
      </c>
      <c r="U134" s="74" t="str">
        <f>IF(T_MEASURES[[#This Row],[Medium risk (2)]]=1,"■","")</f>
        <v>■</v>
      </c>
      <c r="V134" s="71" t="str">
        <f>IF(T_MEASURES[[#This Row],[High risk (3)]]=1,"■","")</f>
        <v>■</v>
      </c>
      <c r="W134" s="18" t="str">
        <f t="shared" si="4"/>
        <v>4. High (Red)</v>
      </c>
      <c r="X134" s="18">
        <f>COUNT(T_MEASURES[[#This Row],[Buildings and public facilities]:[Coordination]])</f>
        <v>2</v>
      </c>
      <c r="Y134" s="18">
        <v>1</v>
      </c>
      <c r="Z134" s="18" t="str">
        <f>IF(T_MEASURES[[#This Row],[Buildings and public facilities]]=1,"Yes","No")</f>
        <v>Yes</v>
      </c>
      <c r="AA134" s="18"/>
      <c r="AB134" s="18" t="str">
        <f>IF(T_MEASURES[[#This Row],[Urban planning]]=1,"Yes","No")</f>
        <v>No</v>
      </c>
      <c r="AC134" s="18"/>
      <c r="AD134" s="18" t="str">
        <f>IF(T_MEASURES[[#This Row],[Culture and Sports]],"Yes","No")</f>
        <v>No</v>
      </c>
      <c r="AE134" s="18"/>
      <c r="AF134" s="18" t="str">
        <f>IF(T_MEASURES[[#This Row],[Tourism]],"Yes","No")</f>
        <v>No</v>
      </c>
      <c r="AG134" s="18"/>
      <c r="AH134" s="18" t="str">
        <f>IF(T_MEASURES[[#This Row],[Occupational risks]],"Yes","No")</f>
        <v>No</v>
      </c>
      <c r="AI134" s="18"/>
      <c r="AJ134" s="18" t="str">
        <f>IF(T_MEASURES[[#This Row],[Education]],"Yes","No")</f>
        <v>No</v>
      </c>
      <c r="AK134" s="18">
        <v>1</v>
      </c>
      <c r="AL134" s="18" t="str">
        <f>IF(T_MEASURES[[#This Row],[Social Services]],"Yes","No")</f>
        <v>Yes</v>
      </c>
      <c r="AM134" s="18"/>
      <c r="AN134" s="18" t="str">
        <f>IF(T_MEASURES[[#This Row],[Emergency Services and Police]],"Yes","No")</f>
        <v>No</v>
      </c>
      <c r="AO134" s="18"/>
      <c r="AP134" s="18" t="str">
        <f>IF(T_MEASURES[[#This Row],[Parks and gardens (Urban Green Infrastructure)]],"Yes","No")</f>
        <v>No</v>
      </c>
      <c r="AQ134" s="18"/>
      <c r="AR134" s="18" t="str">
        <f>IF(T_MEASURES[[#This Row],[Transport]],"Yes","No")</f>
        <v>No</v>
      </c>
      <c r="AS134" s="158"/>
      <c r="AT134" s="1" t="str">
        <f>IF(T_MEASURES[[#This Row],[Coordination]],"Yes","No")</f>
        <v>No</v>
      </c>
      <c r="AU134" s="2">
        <v>1</v>
      </c>
      <c r="AV134" s="1">
        <v>1</v>
      </c>
      <c r="AW134" s="1">
        <v>1</v>
      </c>
      <c r="AX134" s="1">
        <v>1</v>
      </c>
      <c r="AY134" s="3">
        <v>1</v>
      </c>
      <c r="AZ134" s="86">
        <f>SUMPRODUCT($AT$15:$AX$15,T_MEASURES[[#This Row],[&lt;5.000]:[&gt;100.000]])</f>
        <v>1</v>
      </c>
      <c r="BA134" s="1"/>
      <c r="BB134" s="1">
        <v>1</v>
      </c>
      <c r="BC134" s="1">
        <v>1</v>
      </c>
      <c r="BD134" s="1">
        <v>1</v>
      </c>
      <c r="BE134" s="1">
        <v>1</v>
      </c>
      <c r="BF134" s="1">
        <v>1</v>
      </c>
      <c r="BG134" s="1">
        <v>1</v>
      </c>
      <c r="BH134" s="86" cm="1">
        <f t="array" ref="BH134">SUMPRODUCT(--((T_MEASURES[[#This Row],[Health or social care centers]:[Schools / Educational centers]] + $AZ$15:$BF$15)&gt;0))</f>
        <v>6</v>
      </c>
      <c r="BI134" s="88">
        <v>0</v>
      </c>
      <c r="BJ134" s="88">
        <v>0</v>
      </c>
      <c r="BK134" s="88">
        <v>2</v>
      </c>
      <c r="BL134" s="88">
        <v>3</v>
      </c>
      <c r="BM134" s="88">
        <v>2</v>
      </c>
      <c r="BN134" s="88">
        <v>2</v>
      </c>
      <c r="BO134" s="88">
        <v>3</v>
      </c>
      <c r="BP134" s="88">
        <v>3</v>
      </c>
      <c r="BQ134" s="96" cm="1">
        <f t="array" ref="BQ134">T_MEASURES[[#This Row],[Apply size]]*(SUMPRODUCT(T_MEASURES[[#This Row],[C1_Urban Cooling]:[C8_Time]],TRANSPOSE('2.WEIGHTS'!$L$12:$L$19))+(ROW(C134)-ROW($C$18)+1)*0.0000000001)*100</f>
        <v>187.50000117000002</v>
      </c>
      <c r="BR134" s="21"/>
      <c r="BS134" s="38"/>
    </row>
    <row r="135" spans="1:71" ht="33.6" x14ac:dyDescent="0.3">
      <c r="A135" s="21"/>
      <c r="B135" s="38"/>
      <c r="C135" s="21"/>
      <c r="D135" s="86">
        <f>IF(T_MEASURES[[#This Row],[Weight Criterion]]&lt;=0,"",_xlfn.RANK.EQ(T_MEASURES[[#This Row],[Weight Criterion]],T_MEASURES[Weight Criterion]))</f>
        <v>54</v>
      </c>
      <c r="E135" s="152" t="s">
        <v>362</v>
      </c>
      <c r="F135" s="150" t="s">
        <v>56</v>
      </c>
      <c r="G135" s="150" t="s">
        <v>43</v>
      </c>
      <c r="H135" s="150" t="s">
        <v>363</v>
      </c>
      <c r="I135" s="150" t="s">
        <v>364</v>
      </c>
      <c r="J135" s="150"/>
      <c r="K135" s="153">
        <v>1</v>
      </c>
      <c r="L135" s="18">
        <v>1</v>
      </c>
      <c r="M135" s="18"/>
      <c r="N135" s="154" t="str">
        <f t="shared" si="5"/>
        <v>€€</v>
      </c>
      <c r="O135" s="155">
        <v>1</v>
      </c>
      <c r="P135" s="155">
        <v>1</v>
      </c>
      <c r="Q135" s="19">
        <v>1</v>
      </c>
      <c r="R135" s="155">
        <v>1</v>
      </c>
      <c r="S135" s="72" t="str">
        <f>IF(T_MEASURES[[#This Row],[No risk (0)]]=1,"■","")</f>
        <v>■</v>
      </c>
      <c r="T135" s="73" t="str">
        <f>IF(T_MEASURES[[#This Row],[Low risk (1)]]=1,"■","")</f>
        <v>■</v>
      </c>
      <c r="U135" s="74" t="str">
        <f>IF(T_MEASURES[[#This Row],[Medium risk (2)]]=1,"■","")</f>
        <v>■</v>
      </c>
      <c r="V135" s="71" t="str">
        <f>IF(T_MEASURES[[#This Row],[High risk (3)]]=1,"■","")</f>
        <v>■</v>
      </c>
      <c r="W135" s="18" t="str">
        <f t="shared" si="4"/>
        <v>4. High (Red)</v>
      </c>
      <c r="X135" s="18">
        <f>COUNT(T_MEASURES[[#This Row],[Buildings and public facilities]:[Coordination]])</f>
        <v>2</v>
      </c>
      <c r="Y135" s="18">
        <v>1</v>
      </c>
      <c r="Z135" s="18" t="str">
        <f>IF(T_MEASURES[[#This Row],[Buildings and public facilities]]=1,"Yes","No")</f>
        <v>Yes</v>
      </c>
      <c r="AA135" s="18"/>
      <c r="AB135" s="18" t="str">
        <f>IF(T_MEASURES[[#This Row],[Urban planning]]=1,"Yes","No")</f>
        <v>No</v>
      </c>
      <c r="AC135" s="18"/>
      <c r="AD135" s="18" t="str">
        <f>IF(T_MEASURES[[#This Row],[Culture and Sports]],"Yes","No")</f>
        <v>No</v>
      </c>
      <c r="AE135" s="18"/>
      <c r="AF135" s="18" t="str">
        <f>IF(T_MEASURES[[#This Row],[Tourism]],"Yes","No")</f>
        <v>No</v>
      </c>
      <c r="AG135" s="18"/>
      <c r="AH135" s="18" t="str">
        <f>IF(T_MEASURES[[#This Row],[Occupational risks]],"Yes","No")</f>
        <v>No</v>
      </c>
      <c r="AI135" s="18"/>
      <c r="AJ135" s="18" t="str">
        <f>IF(T_MEASURES[[#This Row],[Education]],"Yes","No")</f>
        <v>No</v>
      </c>
      <c r="AK135" s="18"/>
      <c r="AL135" s="18" t="str">
        <f>IF(T_MEASURES[[#This Row],[Social Services]],"Yes","No")</f>
        <v>No</v>
      </c>
      <c r="AM135" s="18"/>
      <c r="AN135" s="18" t="str">
        <f>IF(T_MEASURES[[#This Row],[Emergency Services and Police]],"Yes","No")</f>
        <v>No</v>
      </c>
      <c r="AO135" s="18">
        <v>1</v>
      </c>
      <c r="AP135" s="18" t="str">
        <f>IF(T_MEASURES[[#This Row],[Parks and gardens (Urban Green Infrastructure)]],"Yes","No")</f>
        <v>Yes</v>
      </c>
      <c r="AQ135" s="18"/>
      <c r="AR135" s="18" t="str">
        <f>IF(T_MEASURES[[#This Row],[Transport]],"Yes","No")</f>
        <v>No</v>
      </c>
      <c r="AS135" s="158"/>
      <c r="AT135" s="1" t="str">
        <f>IF(T_MEASURES[[#This Row],[Coordination]],"Yes","No")</f>
        <v>No</v>
      </c>
      <c r="AU135" s="2"/>
      <c r="AV135" s="1">
        <v>1</v>
      </c>
      <c r="AW135" s="1">
        <v>1</v>
      </c>
      <c r="AX135" s="1">
        <v>1</v>
      </c>
      <c r="AY135" s="3">
        <v>1</v>
      </c>
      <c r="AZ135" s="86">
        <f>SUMPRODUCT($AT$15:$AX$15,T_MEASURES[[#This Row],[&lt;5.000]:[&gt;100.000]])</f>
        <v>1</v>
      </c>
      <c r="BA135" s="1">
        <v>1</v>
      </c>
      <c r="BB135" s="1">
        <v>1</v>
      </c>
      <c r="BC135" s="1">
        <v>1</v>
      </c>
      <c r="BD135" s="1">
        <v>1</v>
      </c>
      <c r="BE135" s="1">
        <v>1</v>
      </c>
      <c r="BF135" s="1">
        <v>1</v>
      </c>
      <c r="BG135" s="1">
        <v>1</v>
      </c>
      <c r="BH135" s="86" cm="1">
        <f t="array" ref="BH135">SUMPRODUCT(--((T_MEASURES[[#This Row],[Health or social care centers]:[Schools / Educational centers]] + $AZ$15:$BF$15)&gt;0))</f>
        <v>7</v>
      </c>
      <c r="BI135" s="1">
        <v>0</v>
      </c>
      <c r="BJ135" s="1">
        <v>0</v>
      </c>
      <c r="BK135" s="1">
        <v>2</v>
      </c>
      <c r="BL135" s="1">
        <v>3</v>
      </c>
      <c r="BM135" s="1">
        <v>2</v>
      </c>
      <c r="BN135" s="1">
        <v>2</v>
      </c>
      <c r="BO135" s="1">
        <v>3</v>
      </c>
      <c r="BP135" s="1">
        <v>3</v>
      </c>
      <c r="BQ135" s="96" cm="1">
        <f t="array" ref="BQ135">T_MEASURES[[#This Row],[Apply size]]*(SUMPRODUCT(T_MEASURES[[#This Row],[C1_Urban Cooling]:[C8_Time]],TRANSPOSE('2.WEIGHTS'!$L$12:$L$19))+(ROW(C135)-ROW($C$18)+1)*0.0000000001)*100</f>
        <v>187.50000118</v>
      </c>
      <c r="BR135" s="21"/>
      <c r="BS135" s="38"/>
    </row>
    <row r="136" spans="1:71" ht="33.6" x14ac:dyDescent="0.3">
      <c r="A136" s="21"/>
      <c r="B136" s="38"/>
      <c r="C136" s="21"/>
      <c r="D136" s="86">
        <f>IF(T_MEASURES[[#This Row],[Weight Criterion]]&lt;=0,"",_xlfn.RANK.EQ(T_MEASURES[[#This Row],[Weight Criterion]],T_MEASURES[Weight Criterion]))</f>
        <v>17</v>
      </c>
      <c r="E136" s="152" t="s">
        <v>365</v>
      </c>
      <c r="F136" s="150" t="s">
        <v>56</v>
      </c>
      <c r="G136" s="150" t="s">
        <v>42</v>
      </c>
      <c r="H136" s="150" t="s">
        <v>126</v>
      </c>
      <c r="I136" s="150" t="s">
        <v>366</v>
      </c>
      <c r="J136" s="150"/>
      <c r="K136" s="153">
        <v>1</v>
      </c>
      <c r="L136" s="18"/>
      <c r="M136" s="18"/>
      <c r="N136" s="154" t="str">
        <f t="shared" si="5"/>
        <v>€</v>
      </c>
      <c r="O136" s="155"/>
      <c r="P136" s="155">
        <v>1</v>
      </c>
      <c r="Q136" s="19">
        <v>1</v>
      </c>
      <c r="R136" s="155"/>
      <c r="S136" s="72" t="str">
        <f>IF(T_MEASURES[[#This Row],[No risk (0)]]=1,"■","")</f>
        <v/>
      </c>
      <c r="T136" s="73" t="str">
        <f>IF(T_MEASURES[[#This Row],[Low risk (1)]]=1,"■","")</f>
        <v>■</v>
      </c>
      <c r="U136" s="74" t="str">
        <f>IF(T_MEASURES[[#This Row],[Medium risk (2)]]=1,"■","")</f>
        <v>■</v>
      </c>
      <c r="V136" s="71" t="str">
        <f>IF(T_MEASURES[[#This Row],[High risk (3)]]=1,"■","")</f>
        <v/>
      </c>
      <c r="W136" s="18" t="str">
        <f t="shared" si="4"/>
        <v>3. Medium (Orange)</v>
      </c>
      <c r="X136" s="18">
        <f>COUNT(T_MEASURES[[#This Row],[Buildings and public facilities]:[Coordination]])</f>
        <v>1</v>
      </c>
      <c r="Y136" s="18"/>
      <c r="Z136" s="18" t="str">
        <f>IF(T_MEASURES[[#This Row],[Buildings and public facilities]]=1,"Yes","No")</f>
        <v>No</v>
      </c>
      <c r="AA136" s="18"/>
      <c r="AB136" s="18" t="str">
        <f>IF(T_MEASURES[[#This Row],[Urban planning]]=1,"Yes","No")</f>
        <v>No</v>
      </c>
      <c r="AC136" s="18"/>
      <c r="AD136" s="18" t="str">
        <f>IF(T_MEASURES[[#This Row],[Culture and Sports]],"Yes","No")</f>
        <v>No</v>
      </c>
      <c r="AE136" s="18"/>
      <c r="AF136" s="18" t="str">
        <f>IF(T_MEASURES[[#This Row],[Tourism]],"Yes","No")</f>
        <v>No</v>
      </c>
      <c r="AG136" s="18"/>
      <c r="AH136" s="18" t="str">
        <f>IF(T_MEASURES[[#This Row],[Occupational risks]],"Yes","No")</f>
        <v>No</v>
      </c>
      <c r="AI136" s="18">
        <v>1</v>
      </c>
      <c r="AJ136" s="18" t="str">
        <f>IF(T_MEASURES[[#This Row],[Education]],"Yes","No")</f>
        <v>Yes</v>
      </c>
      <c r="AK136" s="18"/>
      <c r="AL136" s="18" t="str">
        <f>IF(T_MEASURES[[#This Row],[Social Services]],"Yes","No")</f>
        <v>No</v>
      </c>
      <c r="AM136" s="18"/>
      <c r="AN136" s="18" t="str">
        <f>IF(T_MEASURES[[#This Row],[Emergency Services and Police]],"Yes","No")</f>
        <v>No</v>
      </c>
      <c r="AO136" s="18"/>
      <c r="AP136" s="18" t="str">
        <f>IF(T_MEASURES[[#This Row],[Parks and gardens (Urban Green Infrastructure)]],"Yes","No")</f>
        <v>No</v>
      </c>
      <c r="AQ136" s="18"/>
      <c r="AR136" s="18" t="str">
        <f>IF(T_MEASURES[[#This Row],[Transport]],"Yes","No")</f>
        <v>No</v>
      </c>
      <c r="AS136" s="158"/>
      <c r="AT136" s="1" t="str">
        <f>IF(T_MEASURES[[#This Row],[Coordination]],"Yes","No")</f>
        <v>No</v>
      </c>
      <c r="AU136" s="2">
        <v>1</v>
      </c>
      <c r="AV136" s="1">
        <v>1</v>
      </c>
      <c r="AW136" s="1">
        <v>1</v>
      </c>
      <c r="AX136" s="1">
        <v>1</v>
      </c>
      <c r="AY136" s="3">
        <v>1</v>
      </c>
      <c r="AZ136" s="86">
        <f>SUMPRODUCT($AT$15:$AX$15,T_MEASURES[[#This Row],[&lt;5.000]:[&gt;100.000]])</f>
        <v>1</v>
      </c>
      <c r="BA136" s="1">
        <v>1</v>
      </c>
      <c r="BB136" s="1">
        <v>1</v>
      </c>
      <c r="BC136" s="1">
        <v>1</v>
      </c>
      <c r="BD136" s="1">
        <v>1</v>
      </c>
      <c r="BE136" s="1">
        <v>1</v>
      </c>
      <c r="BF136" s="1">
        <v>1</v>
      </c>
      <c r="BG136" s="1"/>
      <c r="BH136" s="86" cm="1">
        <f t="array" ref="BH136">SUMPRODUCT(--((T_MEASURES[[#This Row],[Health or social care centers]:[Schools / Educational centers]] + $AZ$15:$BF$15)&gt;0))</f>
        <v>6</v>
      </c>
      <c r="BI136" s="88">
        <v>0</v>
      </c>
      <c r="BJ136" s="88">
        <v>0</v>
      </c>
      <c r="BK136" s="88">
        <v>3</v>
      </c>
      <c r="BL136" s="88">
        <v>2</v>
      </c>
      <c r="BM136" s="88">
        <v>3</v>
      </c>
      <c r="BN136" s="88">
        <v>2</v>
      </c>
      <c r="BO136" s="88">
        <v>3</v>
      </c>
      <c r="BP136" s="88">
        <v>3</v>
      </c>
      <c r="BQ136" s="96" cm="1">
        <f t="array" ref="BQ136">T_MEASURES[[#This Row],[Apply size]]*(SUMPRODUCT(T_MEASURES[[#This Row],[C1_Urban Cooling]:[C8_Time]],TRANSPOSE('2.WEIGHTS'!$L$12:$L$19))+(ROW(C136)-ROW($C$18)+1)*0.0000000001)*100</f>
        <v>200.00000119000001</v>
      </c>
      <c r="BR136" s="21"/>
      <c r="BS136" s="38"/>
    </row>
    <row r="137" spans="1:71" ht="33.6" x14ac:dyDescent="0.3">
      <c r="A137" s="21"/>
      <c r="B137" s="38"/>
      <c r="C137" s="21"/>
      <c r="D137" s="86">
        <f>IF(T_MEASURES[[#This Row],[Weight Criterion]]&lt;=0,"",_xlfn.RANK.EQ(T_MEASURES[[#This Row],[Weight Criterion]],T_MEASURES[Weight Criterion]))</f>
        <v>16</v>
      </c>
      <c r="E137" s="152" t="s">
        <v>367</v>
      </c>
      <c r="F137" s="150" t="s">
        <v>56</v>
      </c>
      <c r="G137" s="150" t="s">
        <v>42</v>
      </c>
      <c r="H137" s="150" t="s">
        <v>135</v>
      </c>
      <c r="I137" s="150" t="s">
        <v>368</v>
      </c>
      <c r="J137" s="150"/>
      <c r="K137" s="153">
        <v>1</v>
      </c>
      <c r="L137" s="18"/>
      <c r="M137" s="18"/>
      <c r="N137" s="154" t="str">
        <f t="shared" si="5"/>
        <v>€</v>
      </c>
      <c r="O137" s="155"/>
      <c r="P137" s="155">
        <v>1</v>
      </c>
      <c r="Q137" s="19">
        <v>1</v>
      </c>
      <c r="R137" s="155"/>
      <c r="S137" s="72" t="str">
        <f>IF(T_MEASURES[[#This Row],[No risk (0)]]=1,"■","")</f>
        <v/>
      </c>
      <c r="T137" s="73" t="str">
        <f>IF(T_MEASURES[[#This Row],[Low risk (1)]]=1,"■","")</f>
        <v>■</v>
      </c>
      <c r="U137" s="74" t="str">
        <f>IF(T_MEASURES[[#This Row],[Medium risk (2)]]=1,"■","")</f>
        <v>■</v>
      </c>
      <c r="V137" s="71" t="str">
        <f>IF(T_MEASURES[[#This Row],[High risk (3)]]=1,"■","")</f>
        <v/>
      </c>
      <c r="W137" s="18" t="str">
        <f t="shared" si="4"/>
        <v>3. Medium (Orange)</v>
      </c>
      <c r="X137" s="18">
        <f>COUNT(T_MEASURES[[#This Row],[Buildings and public facilities]:[Coordination]])</f>
        <v>1</v>
      </c>
      <c r="Y137" s="18"/>
      <c r="Z137" s="18" t="str">
        <f>IF(T_MEASURES[[#This Row],[Buildings and public facilities]]=1,"Yes","No")</f>
        <v>No</v>
      </c>
      <c r="AA137" s="18"/>
      <c r="AB137" s="18" t="str">
        <f>IF(T_MEASURES[[#This Row],[Urban planning]]=1,"Yes","No")</f>
        <v>No</v>
      </c>
      <c r="AC137" s="18"/>
      <c r="AD137" s="18" t="str">
        <f>IF(T_MEASURES[[#This Row],[Culture and Sports]],"Yes","No")</f>
        <v>No</v>
      </c>
      <c r="AE137" s="18"/>
      <c r="AF137" s="18" t="str">
        <f>IF(T_MEASURES[[#This Row],[Tourism]],"Yes","No")</f>
        <v>No</v>
      </c>
      <c r="AG137" s="18"/>
      <c r="AH137" s="18" t="str">
        <f>IF(T_MEASURES[[#This Row],[Occupational risks]],"Yes","No")</f>
        <v>No</v>
      </c>
      <c r="AI137" s="18">
        <v>1</v>
      </c>
      <c r="AJ137" s="18" t="str">
        <f>IF(T_MEASURES[[#This Row],[Education]],"Yes","No")</f>
        <v>Yes</v>
      </c>
      <c r="AK137" s="18"/>
      <c r="AL137" s="18" t="str">
        <f>IF(T_MEASURES[[#This Row],[Social Services]],"Yes","No")</f>
        <v>No</v>
      </c>
      <c r="AM137" s="18"/>
      <c r="AN137" s="18" t="str">
        <f>IF(T_MEASURES[[#This Row],[Emergency Services and Police]],"Yes","No")</f>
        <v>No</v>
      </c>
      <c r="AO137" s="18"/>
      <c r="AP137" s="18" t="str">
        <f>IF(T_MEASURES[[#This Row],[Parks and gardens (Urban Green Infrastructure)]],"Yes","No")</f>
        <v>No</v>
      </c>
      <c r="AQ137" s="18"/>
      <c r="AR137" s="18" t="str">
        <f>IF(T_MEASURES[[#This Row],[Transport]],"Yes","No")</f>
        <v>No</v>
      </c>
      <c r="AS137" s="158"/>
      <c r="AT137" s="1" t="str">
        <f>IF(T_MEASURES[[#This Row],[Coordination]],"Yes","No")</f>
        <v>No</v>
      </c>
      <c r="AU137" s="2">
        <v>1</v>
      </c>
      <c r="AV137" s="1">
        <v>1</v>
      </c>
      <c r="AW137" s="1">
        <v>1</v>
      </c>
      <c r="AX137" s="1">
        <v>1</v>
      </c>
      <c r="AY137" s="3">
        <v>1</v>
      </c>
      <c r="AZ137" s="86">
        <f>SUMPRODUCT($AT$15:$AX$15,T_MEASURES[[#This Row],[&lt;5.000]:[&gt;100.000]])</f>
        <v>1</v>
      </c>
      <c r="BA137" s="1">
        <v>1</v>
      </c>
      <c r="BB137" s="1">
        <v>1</v>
      </c>
      <c r="BC137" s="1">
        <v>1</v>
      </c>
      <c r="BD137" s="1">
        <v>1</v>
      </c>
      <c r="BE137" s="1">
        <v>1</v>
      </c>
      <c r="BF137" s="1">
        <v>1</v>
      </c>
      <c r="BG137" s="1"/>
      <c r="BH137" s="86" cm="1">
        <f t="array" ref="BH137">SUMPRODUCT(--((T_MEASURES[[#This Row],[Health or social care centers]:[Schools / Educational centers]] + $AZ$15:$BF$15)&gt;0))</f>
        <v>6</v>
      </c>
      <c r="BI137" s="1">
        <v>0</v>
      </c>
      <c r="BJ137" s="1">
        <v>0</v>
      </c>
      <c r="BK137" s="1">
        <v>3</v>
      </c>
      <c r="BL137" s="1">
        <v>2</v>
      </c>
      <c r="BM137" s="1">
        <v>3</v>
      </c>
      <c r="BN137" s="1">
        <v>2</v>
      </c>
      <c r="BO137" s="1">
        <v>3</v>
      </c>
      <c r="BP137" s="1">
        <v>3</v>
      </c>
      <c r="BQ137" s="96" cm="1">
        <f t="array" ref="BQ137">T_MEASURES[[#This Row],[Apply size]]*(SUMPRODUCT(T_MEASURES[[#This Row],[C1_Urban Cooling]:[C8_Time]],TRANSPOSE('2.WEIGHTS'!$L$12:$L$19))+(ROW(C137)-ROW($C$18)+1)*0.0000000001)*100</f>
        <v>200.00000120000001</v>
      </c>
      <c r="BR137" s="21"/>
      <c r="BS137" s="38"/>
    </row>
    <row r="138" spans="1:71" ht="33.6" x14ac:dyDescent="0.3">
      <c r="A138" s="21"/>
      <c r="B138" s="38"/>
      <c r="C138" s="21"/>
      <c r="D138" s="86">
        <f>IF(T_MEASURES[[#This Row],[Weight Criterion]]&lt;=0,"",_xlfn.RANK.EQ(T_MEASURES[[#This Row],[Weight Criterion]],T_MEASURES[Weight Criterion]))</f>
        <v>15</v>
      </c>
      <c r="E138" s="152" t="s">
        <v>369</v>
      </c>
      <c r="F138" s="150" t="s">
        <v>56</v>
      </c>
      <c r="G138" s="150" t="s">
        <v>42</v>
      </c>
      <c r="H138" s="150" t="s">
        <v>126</v>
      </c>
      <c r="I138" s="150" t="s">
        <v>370</v>
      </c>
      <c r="J138" s="150"/>
      <c r="K138" s="153">
        <v>1</v>
      </c>
      <c r="L138" s="18"/>
      <c r="M138" s="18"/>
      <c r="N138" s="154" t="str">
        <f t="shared" si="5"/>
        <v>€</v>
      </c>
      <c r="O138" s="155"/>
      <c r="P138" s="155"/>
      <c r="Q138" s="19">
        <v>1</v>
      </c>
      <c r="R138" s="155">
        <v>1</v>
      </c>
      <c r="S138" s="72" t="str">
        <f>IF(T_MEASURES[[#This Row],[No risk (0)]]=1,"■","")</f>
        <v/>
      </c>
      <c r="T138" s="73" t="str">
        <f>IF(T_MEASURES[[#This Row],[Low risk (1)]]=1,"■","")</f>
        <v/>
      </c>
      <c r="U138" s="74" t="str">
        <f>IF(T_MEASURES[[#This Row],[Medium risk (2)]]=1,"■","")</f>
        <v>■</v>
      </c>
      <c r="V138" s="71" t="str">
        <f>IF(T_MEASURES[[#This Row],[High risk (3)]]=1,"■","")</f>
        <v>■</v>
      </c>
      <c r="W138" s="18" t="str">
        <f t="shared" si="4"/>
        <v>4. High (Red)</v>
      </c>
      <c r="X138" s="18">
        <f>COUNT(T_MEASURES[[#This Row],[Buildings and public facilities]:[Coordination]])</f>
        <v>1</v>
      </c>
      <c r="Y138" s="18"/>
      <c r="Z138" s="18" t="str">
        <f>IF(T_MEASURES[[#This Row],[Buildings and public facilities]]=1,"Yes","No")</f>
        <v>No</v>
      </c>
      <c r="AA138" s="18"/>
      <c r="AB138" s="18" t="str">
        <f>IF(T_MEASURES[[#This Row],[Urban planning]]=1,"Yes","No")</f>
        <v>No</v>
      </c>
      <c r="AC138" s="18"/>
      <c r="AD138" s="18" t="str">
        <f>IF(T_MEASURES[[#This Row],[Culture and Sports]],"Yes","No")</f>
        <v>No</v>
      </c>
      <c r="AE138" s="18"/>
      <c r="AF138" s="18" t="str">
        <f>IF(T_MEASURES[[#This Row],[Tourism]],"Yes","No")</f>
        <v>No</v>
      </c>
      <c r="AG138" s="18"/>
      <c r="AH138" s="18" t="str">
        <f>IF(T_MEASURES[[#This Row],[Occupational risks]],"Yes","No")</f>
        <v>No</v>
      </c>
      <c r="AI138" s="18"/>
      <c r="AJ138" s="18" t="str">
        <f>IF(T_MEASURES[[#This Row],[Education]],"Yes","No")</f>
        <v>No</v>
      </c>
      <c r="AK138" s="18"/>
      <c r="AL138" s="18" t="str">
        <f>IF(T_MEASURES[[#This Row],[Social Services]],"Yes","No")</f>
        <v>No</v>
      </c>
      <c r="AM138" s="18"/>
      <c r="AN138" s="18" t="str">
        <f>IF(T_MEASURES[[#This Row],[Emergency Services and Police]],"Yes","No")</f>
        <v>No</v>
      </c>
      <c r="AO138" s="18"/>
      <c r="AP138" s="18" t="str">
        <f>IF(T_MEASURES[[#This Row],[Parks and gardens (Urban Green Infrastructure)]],"Yes","No")</f>
        <v>No</v>
      </c>
      <c r="AQ138" s="18"/>
      <c r="AR138" s="18" t="str">
        <f>IF(T_MEASURES[[#This Row],[Transport]],"Yes","No")</f>
        <v>No</v>
      </c>
      <c r="AS138" s="158">
        <v>1</v>
      </c>
      <c r="AT138" s="1" t="str">
        <f>IF(T_MEASURES[[#This Row],[Coordination]],"Yes","No")</f>
        <v>Yes</v>
      </c>
      <c r="AU138" s="2"/>
      <c r="AV138" s="1"/>
      <c r="AW138" s="1"/>
      <c r="AX138" s="1"/>
      <c r="AY138" s="3">
        <v>1</v>
      </c>
      <c r="AZ138" s="86">
        <f>SUMPRODUCT($AT$15:$AX$15,T_MEASURES[[#This Row],[&lt;5.000]:[&gt;100.000]])</f>
        <v>1</v>
      </c>
      <c r="BA138" s="1">
        <v>1</v>
      </c>
      <c r="BB138" s="1">
        <v>1</v>
      </c>
      <c r="BC138" s="1">
        <v>1</v>
      </c>
      <c r="BD138" s="1">
        <v>1</v>
      </c>
      <c r="BE138" s="1">
        <v>1</v>
      </c>
      <c r="BF138" s="1">
        <v>1</v>
      </c>
      <c r="BG138" s="1">
        <v>1</v>
      </c>
      <c r="BH138" s="86" cm="1">
        <f t="array" ref="BH138">SUMPRODUCT(--((T_MEASURES[[#This Row],[Health or social care centers]:[Schools / Educational centers]] + $AZ$15:$BF$15)&gt;0))</f>
        <v>7</v>
      </c>
      <c r="BI138" s="88">
        <v>0</v>
      </c>
      <c r="BJ138" s="88">
        <v>0</v>
      </c>
      <c r="BK138" s="88">
        <v>2</v>
      </c>
      <c r="BL138" s="88">
        <v>3</v>
      </c>
      <c r="BM138" s="88">
        <v>3</v>
      </c>
      <c r="BN138" s="88">
        <v>2</v>
      </c>
      <c r="BO138" s="88">
        <v>3</v>
      </c>
      <c r="BP138" s="88">
        <v>3</v>
      </c>
      <c r="BQ138" s="96" cm="1">
        <f t="array" ref="BQ138">T_MEASURES[[#This Row],[Apply size]]*(SUMPRODUCT(T_MEASURES[[#This Row],[C1_Urban Cooling]:[C8_Time]],TRANSPOSE('2.WEIGHTS'!$L$12:$L$19))+(ROW(C138)-ROW($C$18)+1)*0.0000000001)*100</f>
        <v>200.00000121000002</v>
      </c>
      <c r="BR138" s="21"/>
      <c r="BS138" s="38"/>
    </row>
    <row r="139" spans="1:71" ht="33.6" x14ac:dyDescent="0.3">
      <c r="A139" s="21"/>
      <c r="B139" s="38"/>
      <c r="C139" s="21"/>
      <c r="D139" s="86">
        <f>IF(T_MEASURES[[#This Row],[Weight Criterion]]&lt;=0,"",_xlfn.RANK.EQ(T_MEASURES[[#This Row],[Weight Criterion]],T_MEASURES[Weight Criterion]))</f>
        <v>1</v>
      </c>
      <c r="E139" s="152" t="s">
        <v>371</v>
      </c>
      <c r="F139" s="150" t="s">
        <v>56</v>
      </c>
      <c r="G139" s="150" t="s">
        <v>42</v>
      </c>
      <c r="H139" s="150" t="s">
        <v>126</v>
      </c>
      <c r="I139" s="151" t="s">
        <v>372</v>
      </c>
      <c r="J139" s="151"/>
      <c r="K139" s="153">
        <v>1</v>
      </c>
      <c r="L139" s="18"/>
      <c r="M139" s="18"/>
      <c r="N139" s="154" t="str">
        <f t="shared" si="5"/>
        <v>€</v>
      </c>
      <c r="O139" s="155"/>
      <c r="P139" s="155">
        <v>1</v>
      </c>
      <c r="Q139" s="19">
        <v>1</v>
      </c>
      <c r="R139" s="155"/>
      <c r="S139" s="72" t="str">
        <f>IF(T_MEASURES[[#This Row],[No risk (0)]]=1,"■","")</f>
        <v/>
      </c>
      <c r="T139" s="73" t="str">
        <f>IF(T_MEASURES[[#This Row],[Low risk (1)]]=1,"■","")</f>
        <v>■</v>
      </c>
      <c r="U139" s="74" t="str">
        <f>IF(T_MEASURES[[#This Row],[Medium risk (2)]]=1,"■","")</f>
        <v>■</v>
      </c>
      <c r="V139" s="71" t="str">
        <f>IF(T_MEASURES[[#This Row],[High risk (3)]]=1,"■","")</f>
        <v/>
      </c>
      <c r="W139" s="18" t="str">
        <f t="shared" si="4"/>
        <v>3. Medium (Orange)</v>
      </c>
      <c r="X139" s="18">
        <f>COUNT(T_MEASURES[[#This Row],[Buildings and public facilities]:[Coordination]])</f>
        <v>2</v>
      </c>
      <c r="Y139" s="18"/>
      <c r="Z139" s="18" t="str">
        <f>IF(T_MEASURES[[#This Row],[Buildings and public facilities]]=1,"Yes","No")</f>
        <v>No</v>
      </c>
      <c r="AA139" s="18"/>
      <c r="AB139" s="18" t="str">
        <f>IF(T_MEASURES[[#This Row],[Urban planning]]=1,"Yes","No")</f>
        <v>No</v>
      </c>
      <c r="AC139" s="18"/>
      <c r="AD139" s="18" t="str">
        <f>IF(T_MEASURES[[#This Row],[Culture and Sports]],"Yes","No")</f>
        <v>No</v>
      </c>
      <c r="AE139" s="18"/>
      <c r="AF139" s="18" t="str">
        <f>IF(T_MEASURES[[#This Row],[Tourism]],"Yes","No")</f>
        <v>No</v>
      </c>
      <c r="AG139" s="18"/>
      <c r="AH139" s="18" t="str">
        <f>IF(T_MEASURES[[#This Row],[Occupational risks]],"Yes","No")</f>
        <v>No</v>
      </c>
      <c r="AI139" s="18">
        <v>1</v>
      </c>
      <c r="AJ139" s="18" t="str">
        <f>IF(T_MEASURES[[#This Row],[Education]],"Yes","No")</f>
        <v>Yes</v>
      </c>
      <c r="AK139" s="18">
        <v>1</v>
      </c>
      <c r="AL139" s="18" t="str">
        <f>IF(T_MEASURES[[#This Row],[Social Services]],"Yes","No")</f>
        <v>Yes</v>
      </c>
      <c r="AM139" s="18"/>
      <c r="AN139" s="18" t="str">
        <f>IF(T_MEASURES[[#This Row],[Emergency Services and Police]],"Yes","No")</f>
        <v>No</v>
      </c>
      <c r="AO139" s="18"/>
      <c r="AP139" s="18" t="str">
        <f>IF(T_MEASURES[[#This Row],[Parks and gardens (Urban Green Infrastructure)]],"Yes","No")</f>
        <v>No</v>
      </c>
      <c r="AQ139" s="18"/>
      <c r="AR139" s="18" t="str">
        <f>IF(T_MEASURES[[#This Row],[Transport]],"Yes","No")</f>
        <v>No</v>
      </c>
      <c r="AS139" s="158"/>
      <c r="AT139" s="1" t="str">
        <f>IF(T_MEASURES[[#This Row],[Coordination]],"Yes","No")</f>
        <v>No</v>
      </c>
      <c r="AU139" s="2"/>
      <c r="AV139" s="1">
        <v>1</v>
      </c>
      <c r="AW139" s="1">
        <v>1</v>
      </c>
      <c r="AX139" s="1">
        <v>1</v>
      </c>
      <c r="AY139" s="3">
        <v>1</v>
      </c>
      <c r="AZ139" s="86">
        <f>SUMPRODUCT($AT$15:$AX$15,T_MEASURES[[#This Row],[&lt;5.000]:[&gt;100.000]])</f>
        <v>1</v>
      </c>
      <c r="BA139" s="1">
        <v>1</v>
      </c>
      <c r="BB139" s="1">
        <v>1</v>
      </c>
      <c r="BC139" s="1">
        <v>1</v>
      </c>
      <c r="BD139" s="1">
        <v>1</v>
      </c>
      <c r="BE139" s="1">
        <v>1</v>
      </c>
      <c r="BF139" s="1">
        <v>1</v>
      </c>
      <c r="BG139" s="1">
        <v>1</v>
      </c>
      <c r="BH139" s="86" cm="1">
        <f t="array" ref="BH139">SUMPRODUCT(--((T_MEASURES[[#This Row],[Health or social care centers]:[Schools / Educational centers]] + $AZ$15:$BF$15)&gt;0))</f>
        <v>7</v>
      </c>
      <c r="BI139" s="1">
        <v>0</v>
      </c>
      <c r="BJ139" s="1">
        <v>0</v>
      </c>
      <c r="BK139" s="1">
        <v>3</v>
      </c>
      <c r="BL139" s="1">
        <v>3</v>
      </c>
      <c r="BM139" s="1">
        <v>3</v>
      </c>
      <c r="BN139" s="1">
        <v>2</v>
      </c>
      <c r="BO139" s="1">
        <v>3</v>
      </c>
      <c r="BP139" s="1">
        <v>3</v>
      </c>
      <c r="BQ139" s="96" cm="1">
        <f t="array" ref="BQ139">T_MEASURES[[#This Row],[Apply size]]*(SUMPRODUCT(T_MEASURES[[#This Row],[C1_Urban Cooling]:[C8_Time]],TRANSPOSE('2.WEIGHTS'!$L$12:$L$19))+(ROW(C139)-ROW($C$18)+1)*0.0000000001)*100</f>
        <v>212.50000122</v>
      </c>
      <c r="BR139" s="21"/>
      <c r="BS139" s="38"/>
    </row>
    <row r="140" spans="1:71" ht="33.6" x14ac:dyDescent="0.3">
      <c r="A140" s="21"/>
      <c r="B140" s="38"/>
      <c r="C140" s="21"/>
      <c r="D140" s="86">
        <f>IF(T_MEASURES[[#This Row],[Weight Criterion]]&lt;=0,"",_xlfn.RANK.EQ(T_MEASURES[[#This Row],[Weight Criterion]],T_MEASURES[Weight Criterion]))</f>
        <v>14</v>
      </c>
      <c r="E140" s="152" t="s">
        <v>373</v>
      </c>
      <c r="F140" s="150" t="s">
        <v>56</v>
      </c>
      <c r="G140" s="150" t="s">
        <v>42</v>
      </c>
      <c r="H140" s="150" t="s">
        <v>135</v>
      </c>
      <c r="I140" s="151" t="s">
        <v>419</v>
      </c>
      <c r="J140" s="151"/>
      <c r="K140" s="153">
        <v>1</v>
      </c>
      <c r="L140" s="18"/>
      <c r="M140" s="18"/>
      <c r="N140" s="154" t="str">
        <f t="shared" si="5"/>
        <v>€</v>
      </c>
      <c r="O140" s="155"/>
      <c r="P140" s="155">
        <v>1</v>
      </c>
      <c r="Q140" s="19">
        <v>1</v>
      </c>
      <c r="R140" s="155"/>
      <c r="S140" s="72" t="str">
        <f>IF(T_MEASURES[[#This Row],[No risk (0)]]=1,"■","")</f>
        <v/>
      </c>
      <c r="T140" s="73" t="str">
        <f>IF(T_MEASURES[[#This Row],[Low risk (1)]]=1,"■","")</f>
        <v>■</v>
      </c>
      <c r="U140" s="74" t="str">
        <f>IF(T_MEASURES[[#This Row],[Medium risk (2)]]=1,"■","")</f>
        <v>■</v>
      </c>
      <c r="V140" s="71" t="str">
        <f>IF(T_MEASURES[[#This Row],[High risk (3)]]=1,"■","")</f>
        <v/>
      </c>
      <c r="W140" s="18" t="str">
        <f t="shared" si="4"/>
        <v>3. Medium (Orange)</v>
      </c>
      <c r="X140" s="18">
        <f>COUNT(T_MEASURES[[#This Row],[Buildings and public facilities]:[Coordination]])</f>
        <v>1</v>
      </c>
      <c r="Y140" s="18"/>
      <c r="Z140" s="18" t="str">
        <f>IF(T_MEASURES[[#This Row],[Buildings and public facilities]]=1,"Yes","No")</f>
        <v>No</v>
      </c>
      <c r="AA140" s="18"/>
      <c r="AB140" s="18" t="str">
        <f>IF(T_MEASURES[[#This Row],[Urban planning]]=1,"Yes","No")</f>
        <v>No</v>
      </c>
      <c r="AC140" s="18"/>
      <c r="AD140" s="18" t="str">
        <f>IF(T_MEASURES[[#This Row],[Culture and Sports]],"Yes","No")</f>
        <v>No</v>
      </c>
      <c r="AE140" s="18"/>
      <c r="AF140" s="18" t="str">
        <f>IF(T_MEASURES[[#This Row],[Tourism]],"Yes","No")</f>
        <v>No</v>
      </c>
      <c r="AG140" s="18">
        <v>1</v>
      </c>
      <c r="AH140" s="18" t="str">
        <f>IF(T_MEASURES[[#This Row],[Occupational risks]],"Yes","No")</f>
        <v>Yes</v>
      </c>
      <c r="AI140" s="18"/>
      <c r="AJ140" s="18" t="str">
        <f>IF(T_MEASURES[[#This Row],[Education]],"Yes","No")</f>
        <v>No</v>
      </c>
      <c r="AK140" s="18"/>
      <c r="AL140" s="18" t="str">
        <f>IF(T_MEASURES[[#This Row],[Social Services]],"Yes","No")</f>
        <v>No</v>
      </c>
      <c r="AM140" s="18"/>
      <c r="AN140" s="18" t="str">
        <f>IF(T_MEASURES[[#This Row],[Emergency Services and Police]],"Yes","No")</f>
        <v>No</v>
      </c>
      <c r="AO140" s="18"/>
      <c r="AP140" s="18" t="str">
        <f>IF(T_MEASURES[[#This Row],[Parks and gardens (Urban Green Infrastructure)]],"Yes","No")</f>
        <v>No</v>
      </c>
      <c r="AQ140" s="18"/>
      <c r="AR140" s="18" t="str">
        <f>IF(T_MEASURES[[#This Row],[Transport]],"Yes","No")</f>
        <v>No</v>
      </c>
      <c r="AS140" s="158"/>
      <c r="AT140" s="1" t="str">
        <f>IF(T_MEASURES[[#This Row],[Coordination]],"Yes","No")</f>
        <v>No</v>
      </c>
      <c r="AU140" s="2">
        <v>1</v>
      </c>
      <c r="AV140" s="1">
        <v>1</v>
      </c>
      <c r="AW140" s="1">
        <v>1</v>
      </c>
      <c r="AX140" s="1">
        <v>1</v>
      </c>
      <c r="AY140" s="3">
        <v>1</v>
      </c>
      <c r="AZ140" s="86">
        <f>SUMPRODUCT($AT$15:$AX$15,T_MEASURES[[#This Row],[&lt;5.000]:[&gt;100.000]])</f>
        <v>1</v>
      </c>
      <c r="BA140" s="1"/>
      <c r="BB140" s="1">
        <v>1</v>
      </c>
      <c r="BC140" s="1">
        <v>1</v>
      </c>
      <c r="BD140" s="1">
        <v>1</v>
      </c>
      <c r="BE140" s="1">
        <v>1</v>
      </c>
      <c r="BF140" s="1">
        <v>1</v>
      </c>
      <c r="BG140" s="1">
        <v>1</v>
      </c>
      <c r="BH140" s="86" cm="1">
        <f t="array" ref="BH140">SUMPRODUCT(--((T_MEASURES[[#This Row],[Health or social care centers]:[Schools / Educational centers]] + $AZ$15:$BF$15)&gt;0))</f>
        <v>6</v>
      </c>
      <c r="BI140" s="88">
        <v>0</v>
      </c>
      <c r="BJ140" s="88">
        <v>0</v>
      </c>
      <c r="BK140" s="88">
        <v>3</v>
      </c>
      <c r="BL140" s="88">
        <v>2</v>
      </c>
      <c r="BM140" s="88">
        <v>3</v>
      </c>
      <c r="BN140" s="88">
        <v>2</v>
      </c>
      <c r="BO140" s="88">
        <v>3</v>
      </c>
      <c r="BP140" s="88">
        <v>3</v>
      </c>
      <c r="BQ140" s="96" cm="1">
        <f t="array" ref="BQ140">T_MEASURES[[#This Row],[Apply size]]*(SUMPRODUCT(T_MEASURES[[#This Row],[C1_Urban Cooling]:[C8_Time]],TRANSPOSE('2.WEIGHTS'!$L$12:$L$19))+(ROW(C140)-ROW($C$18)+1)*0.0000000001)*100</f>
        <v>200.00000123000001</v>
      </c>
      <c r="BR140" s="21"/>
      <c r="BS140" s="38"/>
    </row>
    <row r="141" spans="1:71" ht="33.6" x14ac:dyDescent="0.3">
      <c r="A141" s="21"/>
      <c r="B141" s="38"/>
      <c r="C141" s="21"/>
      <c r="D141" s="86">
        <f>IF(T_MEASURES[[#This Row],[Weight Criterion]]&lt;=0,"",_xlfn.RANK.EQ(T_MEASURES[[#This Row],[Weight Criterion]],T_MEASURES[Weight Criterion]))</f>
        <v>13</v>
      </c>
      <c r="E141" s="152" t="s">
        <v>374</v>
      </c>
      <c r="F141" s="150" t="s">
        <v>56</v>
      </c>
      <c r="G141" s="150" t="s">
        <v>44</v>
      </c>
      <c r="H141" s="150" t="s">
        <v>145</v>
      </c>
      <c r="I141" s="150" t="s">
        <v>375</v>
      </c>
      <c r="J141" s="150"/>
      <c r="K141" s="153">
        <v>1</v>
      </c>
      <c r="L141" s="18"/>
      <c r="M141" s="18"/>
      <c r="N141" s="154" t="str">
        <f t="shared" si="5"/>
        <v>€</v>
      </c>
      <c r="O141" s="155">
        <v>1</v>
      </c>
      <c r="P141" s="155">
        <v>1</v>
      </c>
      <c r="Q141" s="19"/>
      <c r="R141" s="155"/>
      <c r="S141" s="72" t="str">
        <f>IF(T_MEASURES[[#This Row],[No risk (0)]]=1,"■","")</f>
        <v>■</v>
      </c>
      <c r="T141" s="73" t="str">
        <f>IF(T_MEASURES[[#This Row],[Low risk (1)]]=1,"■","")</f>
        <v>■</v>
      </c>
      <c r="U141" s="74" t="str">
        <f>IF(T_MEASURES[[#This Row],[Medium risk (2)]]=1,"■","")</f>
        <v/>
      </c>
      <c r="V141" s="71" t="str">
        <f>IF(T_MEASURES[[#This Row],[High risk (3)]]=1,"■","")</f>
        <v/>
      </c>
      <c r="W141" s="18" t="str">
        <f t="shared" si="4"/>
        <v>2. Low (Yellow)</v>
      </c>
      <c r="X141" s="18">
        <f>COUNT(T_MEASURES[[#This Row],[Buildings and public facilities]:[Coordination]])</f>
        <v>3</v>
      </c>
      <c r="Y141" s="18"/>
      <c r="Z141" s="18" t="str">
        <f>IF(T_MEASURES[[#This Row],[Buildings and public facilities]]=1,"Yes","No")</f>
        <v>No</v>
      </c>
      <c r="AA141" s="18"/>
      <c r="AB141" s="18" t="str">
        <f>IF(T_MEASURES[[#This Row],[Urban planning]]=1,"Yes","No")</f>
        <v>No</v>
      </c>
      <c r="AC141" s="18"/>
      <c r="AD141" s="18" t="str">
        <f>IF(T_MEASURES[[#This Row],[Culture and Sports]],"Yes","No")</f>
        <v>No</v>
      </c>
      <c r="AE141" s="18"/>
      <c r="AF141" s="18" t="str">
        <f>IF(T_MEASURES[[#This Row],[Tourism]],"Yes","No")</f>
        <v>No</v>
      </c>
      <c r="AG141" s="18"/>
      <c r="AH141" s="18" t="str">
        <f>IF(T_MEASURES[[#This Row],[Occupational risks]],"Yes","No")</f>
        <v>No</v>
      </c>
      <c r="AI141" s="18">
        <v>1</v>
      </c>
      <c r="AJ141" s="18" t="str">
        <f>IF(T_MEASURES[[#This Row],[Education]],"Yes","No")</f>
        <v>Yes</v>
      </c>
      <c r="AK141" s="18">
        <v>1</v>
      </c>
      <c r="AL141" s="18" t="str">
        <f>IF(T_MEASURES[[#This Row],[Social Services]],"Yes","No")</f>
        <v>Yes</v>
      </c>
      <c r="AM141" s="18">
        <v>1</v>
      </c>
      <c r="AN141" s="18" t="str">
        <f>IF(T_MEASURES[[#This Row],[Emergency Services and Police]],"Yes","No")</f>
        <v>Yes</v>
      </c>
      <c r="AO141" s="18"/>
      <c r="AP141" s="18" t="str">
        <f>IF(T_MEASURES[[#This Row],[Parks and gardens (Urban Green Infrastructure)]],"Yes","No")</f>
        <v>No</v>
      </c>
      <c r="AQ141" s="18"/>
      <c r="AR141" s="18" t="str">
        <f>IF(T_MEASURES[[#This Row],[Transport]],"Yes","No")</f>
        <v>No</v>
      </c>
      <c r="AS141" s="158"/>
      <c r="AT141" s="1" t="str">
        <f>IF(T_MEASURES[[#This Row],[Coordination]],"Yes","No")</f>
        <v>No</v>
      </c>
      <c r="AU141" s="2">
        <v>1</v>
      </c>
      <c r="AV141" s="1">
        <v>1</v>
      </c>
      <c r="AW141" s="1">
        <v>1</v>
      </c>
      <c r="AX141" s="1">
        <v>1</v>
      </c>
      <c r="AY141" s="3">
        <v>1</v>
      </c>
      <c r="AZ141" s="86">
        <f>SUMPRODUCT($AT$15:$AX$15,T_MEASURES[[#This Row],[&lt;5.000]:[&gt;100.000]])</f>
        <v>1</v>
      </c>
      <c r="BA141" s="1">
        <v>1</v>
      </c>
      <c r="BB141" s="1">
        <v>1</v>
      </c>
      <c r="BC141" s="1">
        <v>1</v>
      </c>
      <c r="BD141" s="1">
        <v>1</v>
      </c>
      <c r="BE141" s="1">
        <v>1</v>
      </c>
      <c r="BF141" s="1">
        <v>1</v>
      </c>
      <c r="BG141" s="1">
        <v>1</v>
      </c>
      <c r="BH141" s="86" cm="1">
        <f t="array" ref="BH141">SUMPRODUCT(--((T_MEASURES[[#This Row],[Health or social care centers]:[Schools / Educational centers]] + $AZ$15:$BF$15)&gt;0))</f>
        <v>7</v>
      </c>
      <c r="BI141" s="1">
        <v>0</v>
      </c>
      <c r="BJ141" s="1">
        <v>0</v>
      </c>
      <c r="BK141" s="1">
        <v>2</v>
      </c>
      <c r="BL141" s="1">
        <v>3</v>
      </c>
      <c r="BM141" s="1">
        <v>3</v>
      </c>
      <c r="BN141" s="1">
        <v>2</v>
      </c>
      <c r="BO141" s="1">
        <v>3</v>
      </c>
      <c r="BP141" s="1">
        <v>3</v>
      </c>
      <c r="BQ141" s="96" cm="1">
        <f t="array" ref="BQ141">T_MEASURES[[#This Row],[Apply size]]*(SUMPRODUCT(T_MEASURES[[#This Row],[C1_Urban Cooling]:[C8_Time]],TRANSPOSE('2.WEIGHTS'!$L$12:$L$19))+(ROW(C141)-ROW($C$18)+1)*0.0000000001)*100</f>
        <v>200.00000124000002</v>
      </c>
      <c r="BR141" s="21"/>
      <c r="BS141" s="38"/>
    </row>
    <row r="142" spans="1:71" ht="33.6" x14ac:dyDescent="0.3">
      <c r="A142" s="21"/>
      <c r="B142" s="38"/>
      <c r="C142" s="21"/>
      <c r="D142" s="86">
        <f>IF(T_MEASURES[[#This Row],[Weight Criterion]]&lt;=0,"",_xlfn.RANK.EQ(T_MEASURES[[#This Row],[Weight Criterion]],T_MEASURES[Weight Criterion]))</f>
        <v>120</v>
      </c>
      <c r="E142" s="152" t="s">
        <v>376</v>
      </c>
      <c r="F142" s="150" t="s">
        <v>56</v>
      </c>
      <c r="G142" s="150" t="s">
        <v>43</v>
      </c>
      <c r="H142" s="150" t="s">
        <v>363</v>
      </c>
      <c r="I142" s="150" t="s">
        <v>377</v>
      </c>
      <c r="J142" s="150"/>
      <c r="K142" s="153">
        <v>1</v>
      </c>
      <c r="L142" s="18"/>
      <c r="M142" s="18"/>
      <c r="N142" s="154" t="str">
        <f t="shared" si="5"/>
        <v>€</v>
      </c>
      <c r="O142" s="155">
        <v>1</v>
      </c>
      <c r="P142" s="155">
        <v>1</v>
      </c>
      <c r="Q142" s="19">
        <v>1</v>
      </c>
      <c r="R142" s="155">
        <v>1</v>
      </c>
      <c r="S142" s="72" t="str">
        <f>IF(T_MEASURES[[#This Row],[No risk (0)]]=1,"■","")</f>
        <v>■</v>
      </c>
      <c r="T142" s="73" t="str">
        <f>IF(T_MEASURES[[#This Row],[Low risk (1)]]=1,"■","")</f>
        <v>■</v>
      </c>
      <c r="U142" s="74" t="str">
        <f>IF(T_MEASURES[[#This Row],[Medium risk (2)]]=1,"■","")</f>
        <v>■</v>
      </c>
      <c r="V142" s="71" t="str">
        <f>IF(T_MEASURES[[#This Row],[High risk (3)]]=1,"■","")</f>
        <v>■</v>
      </c>
      <c r="W142" s="18" t="str">
        <f t="shared" si="4"/>
        <v>4. High (Red)</v>
      </c>
      <c r="X142" s="18">
        <f>COUNT(T_MEASURES[[#This Row],[Buildings and public facilities]:[Coordination]])</f>
        <v>1</v>
      </c>
      <c r="Y142" s="18">
        <v>1</v>
      </c>
      <c r="Z142" s="18" t="str">
        <f>IF(T_MEASURES[[#This Row],[Buildings and public facilities]]=1,"Yes","No")</f>
        <v>Yes</v>
      </c>
      <c r="AA142" s="18"/>
      <c r="AB142" s="18" t="str">
        <f>IF(T_MEASURES[[#This Row],[Urban planning]]=1,"Yes","No")</f>
        <v>No</v>
      </c>
      <c r="AC142" s="18"/>
      <c r="AD142" s="18" t="str">
        <f>IF(T_MEASURES[[#This Row],[Culture and Sports]],"Yes","No")</f>
        <v>No</v>
      </c>
      <c r="AE142" s="18"/>
      <c r="AF142" s="18" t="str">
        <f>IF(T_MEASURES[[#This Row],[Tourism]],"Yes","No")</f>
        <v>No</v>
      </c>
      <c r="AG142" s="18"/>
      <c r="AH142" s="18" t="str">
        <f>IF(T_MEASURES[[#This Row],[Occupational risks]],"Yes","No")</f>
        <v>No</v>
      </c>
      <c r="AI142" s="18"/>
      <c r="AJ142" s="18" t="str">
        <f>IF(T_MEASURES[[#This Row],[Education]],"Yes","No")</f>
        <v>No</v>
      </c>
      <c r="AK142" s="18"/>
      <c r="AL142" s="18" t="str">
        <f>IF(T_MEASURES[[#This Row],[Social Services]],"Yes","No")</f>
        <v>No</v>
      </c>
      <c r="AM142" s="18"/>
      <c r="AN142" s="18" t="str">
        <f>IF(T_MEASURES[[#This Row],[Emergency Services and Police]],"Yes","No")</f>
        <v>No</v>
      </c>
      <c r="AO142" s="18"/>
      <c r="AP142" s="18" t="str">
        <f>IF(T_MEASURES[[#This Row],[Parks and gardens (Urban Green Infrastructure)]],"Yes","No")</f>
        <v>No</v>
      </c>
      <c r="AQ142" s="18"/>
      <c r="AR142" s="18" t="str">
        <f>IF(T_MEASURES[[#This Row],[Transport]],"Yes","No")</f>
        <v>No</v>
      </c>
      <c r="AS142" s="158"/>
      <c r="AT142" s="1" t="str">
        <f>IF(T_MEASURES[[#This Row],[Coordination]],"Yes","No")</f>
        <v>No</v>
      </c>
      <c r="AU142" s="2"/>
      <c r="AV142" s="1">
        <v>1</v>
      </c>
      <c r="AW142" s="1">
        <v>1</v>
      </c>
      <c r="AX142" s="1">
        <v>1</v>
      </c>
      <c r="AY142" s="3">
        <v>1</v>
      </c>
      <c r="AZ142" s="86">
        <f>SUMPRODUCT($AT$15:$AX$15,T_MEASURES[[#This Row],[&lt;5.000]:[&gt;100.000]])</f>
        <v>1</v>
      </c>
      <c r="BA142" s="1">
        <v>1</v>
      </c>
      <c r="BB142" s="1">
        <v>1</v>
      </c>
      <c r="BC142" s="1">
        <v>1</v>
      </c>
      <c r="BD142" s="1">
        <v>1</v>
      </c>
      <c r="BE142" s="1">
        <v>1</v>
      </c>
      <c r="BF142" s="1">
        <v>1</v>
      </c>
      <c r="BG142" s="1">
        <v>1</v>
      </c>
      <c r="BH142" s="86" cm="1">
        <f t="array" ref="BH142">SUMPRODUCT(--((T_MEASURES[[#This Row],[Health or social care centers]:[Schools / Educational centers]] + $AZ$15:$BF$15)&gt;0))</f>
        <v>7</v>
      </c>
      <c r="BI142" s="88">
        <v>0</v>
      </c>
      <c r="BJ142" s="88">
        <v>0</v>
      </c>
      <c r="BK142" s="88">
        <v>2</v>
      </c>
      <c r="BL142" s="88">
        <v>2</v>
      </c>
      <c r="BM142" s="88">
        <v>2</v>
      </c>
      <c r="BN142" s="88">
        <v>2</v>
      </c>
      <c r="BO142" s="88">
        <v>2</v>
      </c>
      <c r="BP142" s="88">
        <v>2</v>
      </c>
      <c r="BQ142" s="96" cm="1">
        <f t="array" ref="BQ142">T_MEASURES[[#This Row],[Apply size]]*(SUMPRODUCT(T_MEASURES[[#This Row],[C1_Urban Cooling]:[C8_Time]],TRANSPOSE('2.WEIGHTS'!$L$12:$L$19))+(ROW(C142)-ROW($C$18)+1)*0.0000000001)*100</f>
        <v>150.00000125</v>
      </c>
      <c r="BR142" s="21"/>
      <c r="BS142" s="38"/>
    </row>
    <row r="143" spans="1:71" ht="33.6" x14ac:dyDescent="0.3">
      <c r="A143" s="21"/>
      <c r="B143" s="38"/>
      <c r="C143" s="21"/>
      <c r="D143" s="86">
        <f>IF(T_MEASURES[[#This Row],[Weight Criterion]]&lt;=0,"",_xlfn.RANK.EQ(T_MEASURES[[#This Row],[Weight Criterion]],T_MEASURES[Weight Criterion]))</f>
        <v>53</v>
      </c>
      <c r="E143" s="152" t="s">
        <v>378</v>
      </c>
      <c r="F143" s="150" t="s">
        <v>56</v>
      </c>
      <c r="G143" s="150" t="s">
        <v>42</v>
      </c>
      <c r="H143" s="150" t="s">
        <v>135</v>
      </c>
      <c r="I143" s="150" t="s">
        <v>379</v>
      </c>
      <c r="J143" s="150"/>
      <c r="K143" s="153">
        <v>1</v>
      </c>
      <c r="L143" s="18"/>
      <c r="M143" s="18"/>
      <c r="N143" s="154" t="str">
        <f t="shared" si="5"/>
        <v>€</v>
      </c>
      <c r="O143" s="155">
        <v>1</v>
      </c>
      <c r="P143" s="155">
        <v>1</v>
      </c>
      <c r="Q143" s="19">
        <v>1</v>
      </c>
      <c r="R143" s="155"/>
      <c r="S143" s="72" t="str">
        <f>IF(T_MEASURES[[#This Row],[No risk (0)]]=1,"■","")</f>
        <v>■</v>
      </c>
      <c r="T143" s="73" t="str">
        <f>IF(T_MEASURES[[#This Row],[Low risk (1)]]=1,"■","")</f>
        <v>■</v>
      </c>
      <c r="U143" s="74" t="str">
        <f>IF(T_MEASURES[[#This Row],[Medium risk (2)]]=1,"■","")</f>
        <v>■</v>
      </c>
      <c r="V143" s="71" t="str">
        <f>IF(T_MEASURES[[#This Row],[High risk (3)]]=1,"■","")</f>
        <v/>
      </c>
      <c r="W143" s="18" t="str">
        <f t="shared" si="4"/>
        <v>3. Medium (Orange)</v>
      </c>
      <c r="X143" s="18">
        <f>COUNT(T_MEASURES[[#This Row],[Buildings and public facilities]:[Coordination]])</f>
        <v>1</v>
      </c>
      <c r="Y143" s="18"/>
      <c r="Z143" s="18" t="str">
        <f>IF(T_MEASURES[[#This Row],[Buildings and public facilities]]=1,"Yes","No")</f>
        <v>No</v>
      </c>
      <c r="AA143" s="18"/>
      <c r="AB143" s="18" t="str">
        <f>IF(T_MEASURES[[#This Row],[Urban planning]]=1,"Yes","No")</f>
        <v>No</v>
      </c>
      <c r="AC143" s="18"/>
      <c r="AD143" s="18" t="str">
        <f>IF(T_MEASURES[[#This Row],[Culture and Sports]],"Yes","No")</f>
        <v>No</v>
      </c>
      <c r="AE143" s="18"/>
      <c r="AF143" s="18" t="str">
        <f>IF(T_MEASURES[[#This Row],[Tourism]],"Yes","No")</f>
        <v>No</v>
      </c>
      <c r="AG143" s="18"/>
      <c r="AH143" s="18" t="str">
        <f>IF(T_MEASURES[[#This Row],[Occupational risks]],"Yes","No")</f>
        <v>No</v>
      </c>
      <c r="AI143" s="18"/>
      <c r="AJ143" s="18" t="str">
        <f>IF(T_MEASURES[[#This Row],[Education]],"Yes","No")</f>
        <v>No</v>
      </c>
      <c r="AK143" s="18">
        <v>1</v>
      </c>
      <c r="AL143" s="18" t="str">
        <f>IF(T_MEASURES[[#This Row],[Social Services]],"Yes","No")</f>
        <v>Yes</v>
      </c>
      <c r="AM143" s="18"/>
      <c r="AN143" s="18" t="str">
        <f>IF(T_MEASURES[[#This Row],[Emergency Services and Police]],"Yes","No")</f>
        <v>No</v>
      </c>
      <c r="AO143" s="18"/>
      <c r="AP143" s="18" t="str">
        <f>IF(T_MEASURES[[#This Row],[Parks and gardens (Urban Green Infrastructure)]],"Yes","No")</f>
        <v>No</v>
      </c>
      <c r="AQ143" s="18"/>
      <c r="AR143" s="18" t="str">
        <f>IF(T_MEASURES[[#This Row],[Transport]],"Yes","No")</f>
        <v>No</v>
      </c>
      <c r="AS143" s="158"/>
      <c r="AT143" s="1" t="str">
        <f>IF(T_MEASURES[[#This Row],[Coordination]],"Yes","No")</f>
        <v>No</v>
      </c>
      <c r="AU143" s="2">
        <v>1</v>
      </c>
      <c r="AV143" s="1">
        <v>1</v>
      </c>
      <c r="AW143" s="1">
        <v>1</v>
      </c>
      <c r="AX143" s="1">
        <v>1</v>
      </c>
      <c r="AY143" s="3">
        <v>1</v>
      </c>
      <c r="AZ143" s="86">
        <f>SUMPRODUCT($AT$15:$AX$15,T_MEASURES[[#This Row],[&lt;5.000]:[&gt;100.000]])</f>
        <v>1</v>
      </c>
      <c r="BA143" s="1"/>
      <c r="BB143" s="1">
        <v>1</v>
      </c>
      <c r="BC143" s="1">
        <v>1</v>
      </c>
      <c r="BD143" s="1">
        <v>1</v>
      </c>
      <c r="BE143" s="1">
        <v>1</v>
      </c>
      <c r="BF143" s="1">
        <v>1</v>
      </c>
      <c r="BG143" s="1">
        <v>1</v>
      </c>
      <c r="BH143" s="86" cm="1">
        <f t="array" ref="BH143">SUMPRODUCT(--((T_MEASURES[[#This Row],[Health or social care centers]:[Schools / Educational centers]] + $AZ$15:$BF$15)&gt;0))</f>
        <v>6</v>
      </c>
      <c r="BI143" s="1">
        <v>0</v>
      </c>
      <c r="BJ143" s="1">
        <v>0</v>
      </c>
      <c r="BK143" s="1">
        <v>3</v>
      </c>
      <c r="BL143" s="1">
        <v>2</v>
      </c>
      <c r="BM143" s="1">
        <v>2</v>
      </c>
      <c r="BN143" s="1">
        <v>2</v>
      </c>
      <c r="BO143" s="1">
        <v>3</v>
      </c>
      <c r="BP143" s="1">
        <v>3</v>
      </c>
      <c r="BQ143" s="96" cm="1">
        <f t="array" ref="BQ143">T_MEASURES[[#This Row],[Apply size]]*(SUMPRODUCT(T_MEASURES[[#This Row],[C1_Urban Cooling]:[C8_Time]],TRANSPOSE('2.WEIGHTS'!$L$12:$L$19))+(ROW(C143)-ROW($C$18)+1)*0.0000000001)*100</f>
        <v>187.50000126</v>
      </c>
      <c r="BR143" s="21"/>
      <c r="BS143" s="38"/>
    </row>
    <row r="144" spans="1:71" ht="33.6" x14ac:dyDescent="0.3">
      <c r="A144" s="21"/>
      <c r="B144" s="38"/>
      <c r="C144" s="21"/>
      <c r="D144" s="86">
        <f>IF(T_MEASURES[[#This Row],[Weight Criterion]]&lt;=0,"",_xlfn.RANK.EQ(T_MEASURES[[#This Row],[Weight Criterion]],T_MEASURES[Weight Criterion]))</f>
        <v>108</v>
      </c>
      <c r="E144" s="152" t="s">
        <v>380</v>
      </c>
      <c r="F144" s="150" t="s">
        <v>56</v>
      </c>
      <c r="G144" s="150" t="s">
        <v>42</v>
      </c>
      <c r="H144" s="150" t="s">
        <v>135</v>
      </c>
      <c r="I144" s="150" t="s">
        <v>381</v>
      </c>
      <c r="J144" s="150"/>
      <c r="K144" s="153">
        <v>1</v>
      </c>
      <c r="L144" s="18"/>
      <c r="M144" s="18"/>
      <c r="N144" s="154" t="str">
        <f t="shared" si="5"/>
        <v>€</v>
      </c>
      <c r="O144" s="155"/>
      <c r="P144" s="155">
        <v>1</v>
      </c>
      <c r="Q144" s="19">
        <v>1</v>
      </c>
      <c r="R144" s="155">
        <v>1</v>
      </c>
      <c r="S144" s="72" t="str">
        <f>IF(T_MEASURES[[#This Row],[No risk (0)]]=1,"■","")</f>
        <v/>
      </c>
      <c r="T144" s="73" t="str">
        <f>IF(T_MEASURES[[#This Row],[Low risk (1)]]=1,"■","")</f>
        <v>■</v>
      </c>
      <c r="U144" s="74" t="str">
        <f>IF(T_MEASURES[[#This Row],[Medium risk (2)]]=1,"■","")</f>
        <v>■</v>
      </c>
      <c r="V144" s="71" t="str">
        <f>IF(T_MEASURES[[#This Row],[High risk (3)]]=1,"■","")</f>
        <v>■</v>
      </c>
      <c r="W144" s="18" t="str">
        <f t="shared" si="4"/>
        <v>4. High (Red)</v>
      </c>
      <c r="X144" s="18">
        <f>COUNT(T_MEASURES[[#This Row],[Buildings and public facilities]:[Coordination]])</f>
        <v>1</v>
      </c>
      <c r="Y144" s="18"/>
      <c r="Z144" s="18" t="str">
        <f>IF(T_MEASURES[[#This Row],[Buildings and public facilities]]=1,"Yes","No")</f>
        <v>No</v>
      </c>
      <c r="AA144" s="18"/>
      <c r="AB144" s="18" t="str">
        <f>IF(T_MEASURES[[#This Row],[Urban planning]]=1,"Yes","No")</f>
        <v>No</v>
      </c>
      <c r="AC144" s="18"/>
      <c r="AD144" s="18" t="str">
        <f>IF(T_MEASURES[[#This Row],[Culture and Sports]],"Yes","No")</f>
        <v>No</v>
      </c>
      <c r="AE144" s="18"/>
      <c r="AF144" s="18" t="str">
        <f>IF(T_MEASURES[[#This Row],[Tourism]],"Yes","No")</f>
        <v>No</v>
      </c>
      <c r="AG144" s="18">
        <v>1</v>
      </c>
      <c r="AH144" s="18" t="str">
        <f>IF(T_MEASURES[[#This Row],[Occupational risks]],"Yes","No")</f>
        <v>Yes</v>
      </c>
      <c r="AI144" s="18"/>
      <c r="AJ144" s="18" t="str">
        <f>IF(T_MEASURES[[#This Row],[Education]],"Yes","No")</f>
        <v>No</v>
      </c>
      <c r="AK144" s="18"/>
      <c r="AL144" s="18" t="str">
        <f>IF(T_MEASURES[[#This Row],[Social Services]],"Yes","No")</f>
        <v>No</v>
      </c>
      <c r="AM144" s="18"/>
      <c r="AN144" s="18" t="str">
        <f>IF(T_MEASURES[[#This Row],[Emergency Services and Police]],"Yes","No")</f>
        <v>No</v>
      </c>
      <c r="AO144" s="18"/>
      <c r="AP144" s="18" t="str">
        <f>IF(T_MEASURES[[#This Row],[Parks and gardens (Urban Green Infrastructure)]],"Yes","No")</f>
        <v>No</v>
      </c>
      <c r="AQ144" s="18"/>
      <c r="AR144" s="18" t="str">
        <f>IF(T_MEASURES[[#This Row],[Transport]],"Yes","No")</f>
        <v>No</v>
      </c>
      <c r="AS144" s="158"/>
      <c r="AT144" s="1" t="str">
        <f>IF(T_MEASURES[[#This Row],[Coordination]],"Yes","No")</f>
        <v>No</v>
      </c>
      <c r="AU144" s="2">
        <v>1</v>
      </c>
      <c r="AV144" s="1">
        <v>1</v>
      </c>
      <c r="AW144" s="1">
        <v>1</v>
      </c>
      <c r="AX144" s="1">
        <v>1</v>
      </c>
      <c r="AY144" s="3">
        <v>1</v>
      </c>
      <c r="AZ144" s="86">
        <f>SUMPRODUCT($AT$15:$AX$15,T_MEASURES[[#This Row],[&lt;5.000]:[&gt;100.000]])</f>
        <v>1</v>
      </c>
      <c r="BA144" s="1">
        <v>1</v>
      </c>
      <c r="BB144" s="1">
        <v>1</v>
      </c>
      <c r="BC144" s="1">
        <v>1</v>
      </c>
      <c r="BD144" s="1">
        <v>1</v>
      </c>
      <c r="BE144" s="1">
        <v>1</v>
      </c>
      <c r="BF144" s="1">
        <v>1</v>
      </c>
      <c r="BG144" s="1">
        <v>1</v>
      </c>
      <c r="BH144" s="86" cm="1">
        <f t="array" ref="BH144">SUMPRODUCT(--((T_MEASURES[[#This Row],[Health or social care centers]:[Schools / Educational centers]] + $AZ$15:$BF$15)&gt;0))</f>
        <v>7</v>
      </c>
      <c r="BI144" s="88">
        <v>0</v>
      </c>
      <c r="BJ144" s="88">
        <v>0</v>
      </c>
      <c r="BK144" s="88">
        <v>1</v>
      </c>
      <c r="BL144" s="88">
        <v>1</v>
      </c>
      <c r="BM144" s="88">
        <v>3</v>
      </c>
      <c r="BN144" s="88">
        <v>2</v>
      </c>
      <c r="BO144" s="88">
        <v>3</v>
      </c>
      <c r="BP144" s="88">
        <v>3</v>
      </c>
      <c r="BQ144" s="96" cm="1">
        <f t="array" ref="BQ144">T_MEASURES[[#This Row],[Apply size]]*(SUMPRODUCT(T_MEASURES[[#This Row],[C1_Urban Cooling]:[C8_Time]],TRANSPOSE('2.WEIGHTS'!$L$12:$L$19))+(ROW(C144)-ROW($C$18)+1)*0.0000000001)*100</f>
        <v>162.50000126999998</v>
      </c>
      <c r="BR144" s="21"/>
      <c r="BS144" s="38"/>
    </row>
    <row r="145" spans="1:71" ht="33.6" x14ac:dyDescent="0.3">
      <c r="A145" s="21"/>
      <c r="B145" s="38"/>
      <c r="C145" s="21"/>
      <c r="D145" s="86">
        <f>IF(T_MEASURES[[#This Row],[Weight Criterion]]&lt;=0,"",_xlfn.RANK.EQ(T_MEASURES[[#This Row],[Weight Criterion]],T_MEASURES[Weight Criterion]))</f>
        <v>12</v>
      </c>
      <c r="E145" s="152" t="s">
        <v>382</v>
      </c>
      <c r="F145" s="150" t="s">
        <v>56</v>
      </c>
      <c r="G145" s="150" t="s">
        <v>42</v>
      </c>
      <c r="H145" s="150" t="s">
        <v>135</v>
      </c>
      <c r="I145" s="150" t="s">
        <v>383</v>
      </c>
      <c r="J145" s="150"/>
      <c r="K145" s="153">
        <v>1</v>
      </c>
      <c r="L145" s="18"/>
      <c r="M145" s="18"/>
      <c r="N145" s="154" t="str">
        <f t="shared" si="5"/>
        <v>€</v>
      </c>
      <c r="O145" s="155"/>
      <c r="P145" s="155">
        <v>1</v>
      </c>
      <c r="Q145" s="19">
        <v>1</v>
      </c>
      <c r="R145" s="155">
        <v>1</v>
      </c>
      <c r="S145" s="72" t="str">
        <f>IF(T_MEASURES[[#This Row],[No risk (0)]]=1,"■","")</f>
        <v/>
      </c>
      <c r="T145" s="73" t="str">
        <f>IF(T_MEASURES[[#This Row],[Low risk (1)]]=1,"■","")</f>
        <v>■</v>
      </c>
      <c r="U145" s="74" t="str">
        <f>IF(T_MEASURES[[#This Row],[Medium risk (2)]]=1,"■","")</f>
        <v>■</v>
      </c>
      <c r="V145" s="71" t="str">
        <f>IF(T_MEASURES[[#This Row],[High risk (3)]]=1,"■","")</f>
        <v>■</v>
      </c>
      <c r="W145" s="18" t="str">
        <f t="shared" si="4"/>
        <v>4. High (Red)</v>
      </c>
      <c r="X145" s="18">
        <f>COUNT(T_MEASURES[[#This Row],[Buildings and public facilities]:[Coordination]])</f>
        <v>1</v>
      </c>
      <c r="Y145" s="18"/>
      <c r="Z145" s="18" t="str">
        <f>IF(T_MEASURES[[#This Row],[Buildings and public facilities]]=1,"Yes","No")</f>
        <v>No</v>
      </c>
      <c r="AA145" s="18"/>
      <c r="AB145" s="18" t="str">
        <f>IF(T_MEASURES[[#This Row],[Urban planning]]=1,"Yes","No")</f>
        <v>No</v>
      </c>
      <c r="AC145" s="18"/>
      <c r="AD145" s="18" t="str">
        <f>IF(T_MEASURES[[#This Row],[Culture and Sports]],"Yes","No")</f>
        <v>No</v>
      </c>
      <c r="AE145" s="18"/>
      <c r="AF145" s="18" t="str">
        <f>IF(T_MEASURES[[#This Row],[Tourism]],"Yes","No")</f>
        <v>No</v>
      </c>
      <c r="AG145" s="18"/>
      <c r="AH145" s="18" t="str">
        <f>IF(T_MEASURES[[#This Row],[Occupational risks]],"Yes","No")</f>
        <v>No</v>
      </c>
      <c r="AI145" s="18"/>
      <c r="AJ145" s="18" t="str">
        <f>IF(T_MEASURES[[#This Row],[Education]],"Yes","No")</f>
        <v>No</v>
      </c>
      <c r="AK145" s="18">
        <v>1</v>
      </c>
      <c r="AL145" s="18" t="str">
        <f>IF(T_MEASURES[[#This Row],[Social Services]],"Yes","No")</f>
        <v>Yes</v>
      </c>
      <c r="AM145" s="18"/>
      <c r="AN145" s="18" t="str">
        <f>IF(T_MEASURES[[#This Row],[Emergency Services and Police]],"Yes","No")</f>
        <v>No</v>
      </c>
      <c r="AO145" s="18"/>
      <c r="AP145" s="18" t="str">
        <f>IF(T_MEASURES[[#This Row],[Parks and gardens (Urban Green Infrastructure)]],"Yes","No")</f>
        <v>No</v>
      </c>
      <c r="AQ145" s="18"/>
      <c r="AR145" s="18" t="str">
        <f>IF(T_MEASURES[[#This Row],[Transport]],"Yes","No")</f>
        <v>No</v>
      </c>
      <c r="AS145" s="158"/>
      <c r="AT145" s="1" t="str">
        <f>IF(T_MEASURES[[#This Row],[Coordination]],"Yes","No")</f>
        <v>No</v>
      </c>
      <c r="AU145" s="2">
        <v>1</v>
      </c>
      <c r="AV145" s="1">
        <v>1</v>
      </c>
      <c r="AW145" s="1">
        <v>1</v>
      </c>
      <c r="AX145" s="1">
        <v>1</v>
      </c>
      <c r="AY145" s="3">
        <v>1</v>
      </c>
      <c r="AZ145" s="86">
        <f>SUMPRODUCT($AT$15:$AX$15,T_MEASURES[[#This Row],[&lt;5.000]:[&gt;100.000]])</f>
        <v>1</v>
      </c>
      <c r="BA145" s="1">
        <v>1</v>
      </c>
      <c r="BB145" s="1">
        <v>1</v>
      </c>
      <c r="BC145" s="1">
        <v>1</v>
      </c>
      <c r="BD145" s="1">
        <v>1</v>
      </c>
      <c r="BE145" s="1">
        <v>1</v>
      </c>
      <c r="BF145" s="1">
        <v>1</v>
      </c>
      <c r="BG145" s="1">
        <v>1</v>
      </c>
      <c r="BH145" s="86" cm="1">
        <f t="array" ref="BH145">SUMPRODUCT(--((T_MEASURES[[#This Row],[Health or social care centers]:[Schools / Educational centers]] + $AZ$15:$BF$15)&gt;0))</f>
        <v>7</v>
      </c>
      <c r="BI145" s="1">
        <v>0</v>
      </c>
      <c r="BJ145" s="1">
        <v>0</v>
      </c>
      <c r="BK145" s="1">
        <v>3</v>
      </c>
      <c r="BL145" s="1">
        <v>2</v>
      </c>
      <c r="BM145" s="1">
        <v>3</v>
      </c>
      <c r="BN145" s="1">
        <v>2</v>
      </c>
      <c r="BO145" s="1">
        <v>3</v>
      </c>
      <c r="BP145" s="1">
        <v>3</v>
      </c>
      <c r="BQ145" s="96" cm="1">
        <f t="array" ref="BQ145">T_MEASURES[[#This Row],[Apply size]]*(SUMPRODUCT(T_MEASURES[[#This Row],[C1_Urban Cooling]:[C8_Time]],TRANSPOSE('2.WEIGHTS'!$L$12:$L$19))+(ROW(C145)-ROW($C$18)+1)*0.0000000001)*100</f>
        <v>200.00000128000002</v>
      </c>
      <c r="BR145" s="21"/>
      <c r="BS145" s="38"/>
    </row>
    <row r="146" spans="1:71" ht="33.6" x14ac:dyDescent="0.3">
      <c r="A146" s="21"/>
      <c r="B146" s="38"/>
      <c r="C146" s="21"/>
      <c r="D146" s="86">
        <f>IF(T_MEASURES[[#This Row],[Weight Criterion]]&lt;=0,"",_xlfn.RANK.EQ(T_MEASURES[[#This Row],[Weight Criterion]],T_MEASURES[Weight Criterion]))</f>
        <v>52</v>
      </c>
      <c r="E146" s="152" t="s">
        <v>384</v>
      </c>
      <c r="F146" s="151" t="s">
        <v>56</v>
      </c>
      <c r="G146" s="151" t="s">
        <v>42</v>
      </c>
      <c r="H146" s="151" t="s">
        <v>126</v>
      </c>
      <c r="I146" s="151" t="s">
        <v>385</v>
      </c>
      <c r="J146" s="151"/>
      <c r="K146" s="153">
        <v>1</v>
      </c>
      <c r="L146" s="18"/>
      <c r="M146" s="18"/>
      <c r="N146" s="154" t="str">
        <f t="shared" ref="N146:N158" si="6">IF(M146&lt;&gt;"","€€€", IF(L146&lt;&gt;"","€€", IF(K146&lt;&gt;"","€","-")))</f>
        <v>€</v>
      </c>
      <c r="O146" s="155"/>
      <c r="P146" s="155">
        <v>1</v>
      </c>
      <c r="Q146" s="19">
        <v>1</v>
      </c>
      <c r="R146" s="155">
        <v>1</v>
      </c>
      <c r="S146" s="72" t="str">
        <f>IF(T_MEASURES[[#This Row],[No risk (0)]]=1,"■","")</f>
        <v/>
      </c>
      <c r="T146" s="73" t="str">
        <f>IF(T_MEASURES[[#This Row],[Low risk (1)]]=1,"■","")</f>
        <v>■</v>
      </c>
      <c r="U146" s="74" t="str">
        <f>IF(T_MEASURES[[#This Row],[Medium risk (2)]]=1,"■","")</f>
        <v>■</v>
      </c>
      <c r="V146" s="71" t="str">
        <f>IF(T_MEASURES[[#This Row],[High risk (3)]]=1,"■","")</f>
        <v>■</v>
      </c>
      <c r="W146" s="18" t="str">
        <f t="shared" si="4"/>
        <v>4. High (Red)</v>
      </c>
      <c r="X146" s="18">
        <f>COUNT(T_MEASURES[[#This Row],[Buildings and public facilities]:[Coordination]])</f>
        <v>1</v>
      </c>
      <c r="Y146" s="18">
        <v>1</v>
      </c>
      <c r="Z146" s="18" t="str">
        <f>IF(T_MEASURES[[#This Row],[Buildings and public facilities]]=1,"Yes","No")</f>
        <v>Yes</v>
      </c>
      <c r="AA146" s="18"/>
      <c r="AB146" s="18" t="str">
        <f>IF(T_MEASURES[[#This Row],[Urban planning]]=1,"Yes","No")</f>
        <v>No</v>
      </c>
      <c r="AC146" s="18"/>
      <c r="AD146" s="18" t="str">
        <f>IF(T_MEASURES[[#This Row],[Culture and Sports]],"Yes","No")</f>
        <v>No</v>
      </c>
      <c r="AE146" s="18"/>
      <c r="AF146" s="18" t="str">
        <f>IF(T_MEASURES[[#This Row],[Tourism]],"Yes","No")</f>
        <v>No</v>
      </c>
      <c r="AG146" s="18"/>
      <c r="AH146" s="18" t="str">
        <f>IF(T_MEASURES[[#This Row],[Occupational risks]],"Yes","No")</f>
        <v>No</v>
      </c>
      <c r="AI146" s="18"/>
      <c r="AJ146" s="18" t="str">
        <f>IF(T_MEASURES[[#This Row],[Education]],"Yes","No")</f>
        <v>No</v>
      </c>
      <c r="AK146" s="18"/>
      <c r="AL146" s="18" t="str">
        <f>IF(T_MEASURES[[#This Row],[Social Services]],"Yes","No")</f>
        <v>No</v>
      </c>
      <c r="AM146" s="18"/>
      <c r="AN146" s="18" t="str">
        <f>IF(T_MEASURES[[#This Row],[Emergency Services and Police]],"Yes","No")</f>
        <v>No</v>
      </c>
      <c r="AO146" s="18"/>
      <c r="AP146" s="18" t="str">
        <f>IF(T_MEASURES[[#This Row],[Parks and gardens (Urban Green Infrastructure)]],"Yes","No")</f>
        <v>No</v>
      </c>
      <c r="AQ146" s="18"/>
      <c r="AR146" s="18" t="str">
        <f>IF(T_MEASURES[[#This Row],[Transport]],"Yes","No")</f>
        <v>No</v>
      </c>
      <c r="AS146" s="158"/>
      <c r="AT146" s="1" t="str">
        <f>IF(T_MEASURES[[#This Row],[Coordination]],"Yes","No")</f>
        <v>No</v>
      </c>
      <c r="AU146" s="2">
        <v>1</v>
      </c>
      <c r="AV146" s="1">
        <v>1</v>
      </c>
      <c r="AW146" s="1">
        <v>1</v>
      </c>
      <c r="AX146" s="1">
        <v>1</v>
      </c>
      <c r="AY146" s="3">
        <v>1</v>
      </c>
      <c r="AZ146" s="86">
        <f>SUMPRODUCT($AT$15:$AX$15,T_MEASURES[[#This Row],[&lt;5.000]:[&gt;100.000]])</f>
        <v>1</v>
      </c>
      <c r="BA146" s="1">
        <v>1</v>
      </c>
      <c r="BB146" s="1">
        <v>1</v>
      </c>
      <c r="BC146" s="1">
        <v>1</v>
      </c>
      <c r="BD146" s="1">
        <v>1</v>
      </c>
      <c r="BE146" s="1">
        <v>1</v>
      </c>
      <c r="BF146" s="1">
        <v>1</v>
      </c>
      <c r="BG146" s="1">
        <v>1</v>
      </c>
      <c r="BH146" s="86" cm="1">
        <f t="array" ref="BH146">SUMPRODUCT(--((T_MEASURES[[#This Row],[Health or social care centers]:[Schools / Educational centers]] + $AZ$15:$BF$15)&gt;0))</f>
        <v>7</v>
      </c>
      <c r="BI146" s="88">
        <v>1</v>
      </c>
      <c r="BJ146" s="88">
        <v>0</v>
      </c>
      <c r="BK146" s="88">
        <v>1</v>
      </c>
      <c r="BL146" s="88">
        <v>2</v>
      </c>
      <c r="BM146" s="88">
        <v>3</v>
      </c>
      <c r="BN146" s="88">
        <v>2</v>
      </c>
      <c r="BO146" s="88">
        <v>3</v>
      </c>
      <c r="BP146" s="88">
        <v>3</v>
      </c>
      <c r="BQ146" s="96" cm="1">
        <f t="array" ref="BQ146">T_MEASURES[[#This Row],[Apply size]]*(SUMPRODUCT(T_MEASURES[[#This Row],[C1_Urban Cooling]:[C8_Time]],TRANSPOSE('2.WEIGHTS'!$L$12:$L$19))+(ROW(C146)-ROW($C$18)+1)*0.0000000001)*100</f>
        <v>187.50000129</v>
      </c>
      <c r="BR146" s="21"/>
      <c r="BS146" s="38"/>
    </row>
    <row r="147" spans="1:71" ht="33.6" x14ac:dyDescent="0.3">
      <c r="A147" s="21"/>
      <c r="B147" s="38"/>
      <c r="C147" s="21"/>
      <c r="D147" s="86">
        <f>IF(T_MEASURES[[#This Row],[Weight Criterion]]&lt;=0,"",_xlfn.RANK.EQ(T_MEASURES[[#This Row],[Weight Criterion]],T_MEASURES[Weight Criterion]))</f>
        <v>51</v>
      </c>
      <c r="E147" s="152" t="s">
        <v>386</v>
      </c>
      <c r="F147" s="151" t="s">
        <v>56</v>
      </c>
      <c r="G147" s="151" t="s">
        <v>42</v>
      </c>
      <c r="H147" s="151" t="s">
        <v>126</v>
      </c>
      <c r="I147" s="151" t="s">
        <v>387</v>
      </c>
      <c r="J147" s="151"/>
      <c r="K147" s="153">
        <v>1</v>
      </c>
      <c r="L147" s="18"/>
      <c r="M147" s="18"/>
      <c r="N147" s="154" t="str">
        <f t="shared" si="6"/>
        <v>€</v>
      </c>
      <c r="O147" s="155"/>
      <c r="P147" s="155">
        <v>1</v>
      </c>
      <c r="Q147" s="19">
        <v>1</v>
      </c>
      <c r="R147" s="155">
        <v>1</v>
      </c>
      <c r="S147" s="72" t="str">
        <f>IF(T_MEASURES[[#This Row],[No risk (0)]]=1,"■","")</f>
        <v/>
      </c>
      <c r="T147" s="73" t="str">
        <f>IF(T_MEASURES[[#This Row],[Low risk (1)]]=1,"■","")</f>
        <v>■</v>
      </c>
      <c r="U147" s="74" t="str">
        <f>IF(T_MEASURES[[#This Row],[Medium risk (2)]]=1,"■","")</f>
        <v>■</v>
      </c>
      <c r="V147" s="71" t="str">
        <f>IF(T_MEASURES[[#This Row],[High risk (3)]]=1,"■","")</f>
        <v>■</v>
      </c>
      <c r="W147" s="18" t="str">
        <f t="shared" ref="W147:W158" si="7">IF(R147&lt;&gt;"","4. High (Red)", IF(Q147&lt;&gt;"","3. Medium (Orange)", IF(P147&lt;&gt;"","2. Low (Yellow)","1. No Risk (Green)")))</f>
        <v>4. High (Red)</v>
      </c>
      <c r="X147" s="18">
        <f>COUNT(T_MEASURES[[#This Row],[Buildings and public facilities]:[Coordination]])</f>
        <v>1</v>
      </c>
      <c r="Y147" s="18"/>
      <c r="Z147" s="18" t="str">
        <f>IF(T_MEASURES[[#This Row],[Buildings and public facilities]]=1,"Yes","No")</f>
        <v>No</v>
      </c>
      <c r="AA147" s="18"/>
      <c r="AB147" s="18" t="str">
        <f>IF(T_MEASURES[[#This Row],[Urban planning]]=1,"Yes","No")</f>
        <v>No</v>
      </c>
      <c r="AC147" s="18"/>
      <c r="AD147" s="18" t="str">
        <f>IF(T_MEASURES[[#This Row],[Culture and Sports]],"Yes","No")</f>
        <v>No</v>
      </c>
      <c r="AE147" s="18"/>
      <c r="AF147" s="18" t="str">
        <f>IF(T_MEASURES[[#This Row],[Tourism]],"Yes","No")</f>
        <v>No</v>
      </c>
      <c r="AG147" s="18"/>
      <c r="AH147" s="18" t="str">
        <f>IF(T_MEASURES[[#This Row],[Occupational risks]],"Yes","No")</f>
        <v>No</v>
      </c>
      <c r="AI147" s="18"/>
      <c r="AJ147" s="18" t="str">
        <f>IF(T_MEASURES[[#This Row],[Education]],"Yes","No")</f>
        <v>No</v>
      </c>
      <c r="AK147" s="18"/>
      <c r="AL147" s="18" t="str">
        <f>IF(T_MEASURES[[#This Row],[Social Services]],"Yes","No")</f>
        <v>No</v>
      </c>
      <c r="AM147" s="18"/>
      <c r="AN147" s="18" t="str">
        <f>IF(T_MEASURES[[#This Row],[Emergency Services and Police]],"Yes","No")</f>
        <v>No</v>
      </c>
      <c r="AO147" s="18"/>
      <c r="AP147" s="18" t="str">
        <f>IF(T_MEASURES[[#This Row],[Parks and gardens (Urban Green Infrastructure)]],"Yes","No")</f>
        <v>No</v>
      </c>
      <c r="AQ147" s="18"/>
      <c r="AR147" s="18" t="str">
        <f>IF(T_MEASURES[[#This Row],[Transport]],"Yes","No")</f>
        <v>No</v>
      </c>
      <c r="AS147" s="158">
        <v>1</v>
      </c>
      <c r="AT147" s="1" t="str">
        <f>IF(T_MEASURES[[#This Row],[Coordination]],"Yes","No")</f>
        <v>Yes</v>
      </c>
      <c r="AU147" s="2">
        <v>1</v>
      </c>
      <c r="AV147" s="1">
        <v>1</v>
      </c>
      <c r="AW147" s="1">
        <v>1</v>
      </c>
      <c r="AX147" s="1">
        <v>1</v>
      </c>
      <c r="AY147" s="3">
        <v>1</v>
      </c>
      <c r="AZ147" s="86">
        <f>SUMPRODUCT($AT$15:$AX$15,T_MEASURES[[#This Row],[&lt;5.000]:[&gt;100.000]])</f>
        <v>1</v>
      </c>
      <c r="BA147" s="1">
        <v>1</v>
      </c>
      <c r="BB147" s="1">
        <v>1</v>
      </c>
      <c r="BC147" s="1">
        <v>1</v>
      </c>
      <c r="BD147" s="1">
        <v>1</v>
      </c>
      <c r="BE147" s="1">
        <v>1</v>
      </c>
      <c r="BF147" s="1">
        <v>1</v>
      </c>
      <c r="BG147" s="1">
        <v>1</v>
      </c>
      <c r="BH147" s="86" cm="1">
        <f t="array" ref="BH147">SUMPRODUCT(--((T_MEASURES[[#This Row],[Health or social care centers]:[Schools / Educational centers]] + $AZ$15:$BF$15)&gt;0))</f>
        <v>7</v>
      </c>
      <c r="BI147" s="1">
        <v>0</v>
      </c>
      <c r="BJ147" s="1">
        <v>0</v>
      </c>
      <c r="BK147" s="1">
        <v>1</v>
      </c>
      <c r="BL147" s="1">
        <v>3</v>
      </c>
      <c r="BM147" s="1">
        <v>3</v>
      </c>
      <c r="BN147" s="1">
        <v>2</v>
      </c>
      <c r="BO147" s="1">
        <v>3</v>
      </c>
      <c r="BP147" s="1">
        <v>3</v>
      </c>
      <c r="BQ147" s="96" cm="1">
        <f t="array" ref="BQ147">T_MEASURES[[#This Row],[Apply size]]*(SUMPRODUCT(T_MEASURES[[#This Row],[C1_Urban Cooling]:[C8_Time]],TRANSPOSE('2.WEIGHTS'!$L$12:$L$19))+(ROW(C147)-ROW($C$18)+1)*0.0000000001)*100</f>
        <v>187.50000130000001</v>
      </c>
      <c r="BR147" s="21"/>
      <c r="BS147" s="38"/>
    </row>
    <row r="148" spans="1:71" ht="33.6" x14ac:dyDescent="0.3">
      <c r="A148" s="21"/>
      <c r="B148" s="38"/>
      <c r="C148" s="21"/>
      <c r="D148" s="86">
        <f>IF(T_MEASURES[[#This Row],[Weight Criterion]]&lt;=0,"",_xlfn.RANK.EQ(T_MEASURES[[#This Row],[Weight Criterion]],T_MEASURES[Weight Criterion]))</f>
        <v>50</v>
      </c>
      <c r="E148" s="152" t="s">
        <v>388</v>
      </c>
      <c r="F148" s="151" t="s">
        <v>56</v>
      </c>
      <c r="G148" s="151" t="s">
        <v>42</v>
      </c>
      <c r="H148" s="151" t="s">
        <v>126</v>
      </c>
      <c r="I148" s="151" t="s">
        <v>389</v>
      </c>
      <c r="J148" s="151"/>
      <c r="K148" s="153">
        <v>1</v>
      </c>
      <c r="L148" s="18"/>
      <c r="M148" s="18"/>
      <c r="N148" s="154" t="str">
        <f t="shared" si="6"/>
        <v>€</v>
      </c>
      <c r="O148" s="155">
        <v>1</v>
      </c>
      <c r="P148" s="155">
        <v>1</v>
      </c>
      <c r="Q148" s="19"/>
      <c r="R148" s="155"/>
      <c r="S148" s="72" t="str">
        <f>IF(T_MEASURES[[#This Row],[No risk (0)]]=1,"■","")</f>
        <v>■</v>
      </c>
      <c r="T148" s="73" t="str">
        <f>IF(T_MEASURES[[#This Row],[Low risk (1)]]=1,"■","")</f>
        <v>■</v>
      </c>
      <c r="U148" s="74" t="str">
        <f>IF(T_MEASURES[[#This Row],[Medium risk (2)]]=1,"■","")</f>
        <v/>
      </c>
      <c r="V148" s="71" t="str">
        <f>IF(T_MEASURES[[#This Row],[High risk (3)]]=1,"■","")</f>
        <v/>
      </c>
      <c r="W148" s="18" t="str">
        <f t="shared" si="7"/>
        <v>2. Low (Yellow)</v>
      </c>
      <c r="X148" s="18">
        <f>COUNT(T_MEASURES[[#This Row],[Buildings and public facilities]:[Coordination]])</f>
        <v>1</v>
      </c>
      <c r="Y148" s="18"/>
      <c r="Z148" s="18" t="str">
        <f>IF(T_MEASURES[[#This Row],[Buildings and public facilities]]=1,"Yes","No")</f>
        <v>No</v>
      </c>
      <c r="AA148" s="18"/>
      <c r="AB148" s="18" t="str">
        <f>IF(T_MEASURES[[#This Row],[Urban planning]]=1,"Yes","No")</f>
        <v>No</v>
      </c>
      <c r="AC148" s="18"/>
      <c r="AD148" s="18" t="str">
        <f>IF(T_MEASURES[[#This Row],[Culture and Sports]],"Yes","No")</f>
        <v>No</v>
      </c>
      <c r="AE148" s="18"/>
      <c r="AF148" s="18" t="str">
        <f>IF(T_MEASURES[[#This Row],[Tourism]],"Yes","No")</f>
        <v>No</v>
      </c>
      <c r="AG148" s="18"/>
      <c r="AH148" s="18" t="str">
        <f>IF(T_MEASURES[[#This Row],[Occupational risks]],"Yes","No")</f>
        <v>No</v>
      </c>
      <c r="AI148" s="18"/>
      <c r="AJ148" s="18" t="str">
        <f>IF(T_MEASURES[[#This Row],[Education]],"Yes","No")</f>
        <v>No</v>
      </c>
      <c r="AK148" s="18"/>
      <c r="AL148" s="18" t="str">
        <f>IF(T_MEASURES[[#This Row],[Social Services]],"Yes","No")</f>
        <v>No</v>
      </c>
      <c r="AM148" s="18"/>
      <c r="AN148" s="18" t="str">
        <f>IF(T_MEASURES[[#This Row],[Emergency Services and Police]],"Yes","No")</f>
        <v>No</v>
      </c>
      <c r="AO148" s="18"/>
      <c r="AP148" s="18" t="str">
        <f>IF(T_MEASURES[[#This Row],[Parks and gardens (Urban Green Infrastructure)]],"Yes","No")</f>
        <v>No</v>
      </c>
      <c r="AQ148" s="18"/>
      <c r="AR148" s="18" t="str">
        <f>IF(T_MEASURES[[#This Row],[Transport]],"Yes","No")</f>
        <v>No</v>
      </c>
      <c r="AS148" s="158">
        <v>1</v>
      </c>
      <c r="AT148" s="1" t="str">
        <f>IF(T_MEASURES[[#This Row],[Coordination]],"Yes","No")</f>
        <v>Yes</v>
      </c>
      <c r="AU148" s="2">
        <v>1</v>
      </c>
      <c r="AV148" s="1">
        <v>1</v>
      </c>
      <c r="AW148" s="1">
        <v>1</v>
      </c>
      <c r="AX148" s="1">
        <v>1</v>
      </c>
      <c r="AY148" s="3">
        <v>1</v>
      </c>
      <c r="AZ148" s="86">
        <f>SUMPRODUCT($AT$15:$AX$15,T_MEASURES[[#This Row],[&lt;5.000]:[&gt;100.000]])</f>
        <v>1</v>
      </c>
      <c r="BA148" s="1">
        <v>1</v>
      </c>
      <c r="BB148" s="1">
        <v>1</v>
      </c>
      <c r="BC148" s="1">
        <v>1</v>
      </c>
      <c r="BD148" s="1">
        <v>1</v>
      </c>
      <c r="BE148" s="1">
        <v>1</v>
      </c>
      <c r="BF148" s="1">
        <v>1</v>
      </c>
      <c r="BG148" s="1">
        <v>1</v>
      </c>
      <c r="BH148" s="86" cm="1">
        <f t="array" ref="BH148">SUMPRODUCT(--((T_MEASURES[[#This Row],[Health or social care centers]:[Schools / Educational centers]] + $AZ$15:$BF$15)&gt;0))</f>
        <v>7</v>
      </c>
      <c r="BI148" s="88">
        <v>0</v>
      </c>
      <c r="BJ148" s="88">
        <v>0</v>
      </c>
      <c r="BK148" s="88">
        <v>1</v>
      </c>
      <c r="BL148" s="88">
        <v>3</v>
      </c>
      <c r="BM148" s="88">
        <v>3</v>
      </c>
      <c r="BN148" s="88">
        <v>2</v>
      </c>
      <c r="BO148" s="88">
        <v>3</v>
      </c>
      <c r="BP148" s="88">
        <v>3</v>
      </c>
      <c r="BQ148" s="96" cm="1">
        <f t="array" ref="BQ148">T_MEASURES[[#This Row],[Apply size]]*(SUMPRODUCT(T_MEASURES[[#This Row],[C1_Urban Cooling]:[C8_Time]],TRANSPOSE('2.WEIGHTS'!$L$12:$L$19))+(ROW(C148)-ROW($C$18)+1)*0.0000000001)*100</f>
        <v>187.50000130999999</v>
      </c>
      <c r="BR148" s="21"/>
      <c r="BS148" s="38"/>
    </row>
    <row r="149" spans="1:71" ht="33.6" x14ac:dyDescent="0.3">
      <c r="A149" s="21"/>
      <c r="B149" s="38"/>
      <c r="C149" s="21"/>
      <c r="D149" s="86">
        <f>IF(T_MEASURES[[#This Row],[Weight Criterion]]&lt;=0,"",_xlfn.RANK.EQ(T_MEASURES[[#This Row],[Weight Criterion]],T_MEASURES[Weight Criterion]))</f>
        <v>49</v>
      </c>
      <c r="E149" s="152" t="s">
        <v>390</v>
      </c>
      <c r="F149" s="151" t="s">
        <v>56</v>
      </c>
      <c r="G149" s="151" t="s">
        <v>42</v>
      </c>
      <c r="H149" s="151" t="s">
        <v>135</v>
      </c>
      <c r="I149" s="151" t="s">
        <v>391</v>
      </c>
      <c r="J149" s="151"/>
      <c r="K149" s="153">
        <v>1</v>
      </c>
      <c r="L149" s="18"/>
      <c r="M149" s="18"/>
      <c r="N149" s="154" t="str">
        <f t="shared" si="6"/>
        <v>€</v>
      </c>
      <c r="O149" s="155"/>
      <c r="P149" s="155">
        <v>1</v>
      </c>
      <c r="Q149" s="19">
        <v>1</v>
      </c>
      <c r="R149" s="155">
        <v>1</v>
      </c>
      <c r="S149" s="72" t="str">
        <f>IF(T_MEASURES[[#This Row],[No risk (0)]]=1,"■","")</f>
        <v/>
      </c>
      <c r="T149" s="73" t="str">
        <f>IF(T_MEASURES[[#This Row],[Low risk (1)]]=1,"■","")</f>
        <v>■</v>
      </c>
      <c r="U149" s="74" t="str">
        <f>IF(T_MEASURES[[#This Row],[Medium risk (2)]]=1,"■","")</f>
        <v>■</v>
      </c>
      <c r="V149" s="71" t="str">
        <f>IF(T_MEASURES[[#This Row],[High risk (3)]]=1,"■","")</f>
        <v>■</v>
      </c>
      <c r="W149" s="18" t="str">
        <f t="shared" si="7"/>
        <v>4. High (Red)</v>
      </c>
      <c r="X149" s="18">
        <f>COUNT(T_MEASURES[[#This Row],[Buildings and public facilities]:[Coordination]])</f>
        <v>1</v>
      </c>
      <c r="Y149" s="18"/>
      <c r="Z149" s="18" t="str">
        <f>IF(T_MEASURES[[#This Row],[Buildings and public facilities]]=1,"Yes","No")</f>
        <v>No</v>
      </c>
      <c r="AA149" s="18"/>
      <c r="AB149" s="18" t="str">
        <f>IF(T_MEASURES[[#This Row],[Urban planning]]=1,"Yes","No")</f>
        <v>No</v>
      </c>
      <c r="AC149" s="18"/>
      <c r="AD149" s="18" t="str">
        <f>IF(T_MEASURES[[#This Row],[Culture and Sports]],"Yes","No")</f>
        <v>No</v>
      </c>
      <c r="AE149" s="18"/>
      <c r="AF149" s="18" t="str">
        <f>IF(T_MEASURES[[#This Row],[Tourism]],"Yes","No")</f>
        <v>No</v>
      </c>
      <c r="AG149" s="18"/>
      <c r="AH149" s="18" t="str">
        <f>IF(T_MEASURES[[#This Row],[Occupational risks]],"Yes","No")</f>
        <v>No</v>
      </c>
      <c r="AI149" s="18"/>
      <c r="AJ149" s="18" t="str">
        <f>IF(T_MEASURES[[#This Row],[Education]],"Yes","No")</f>
        <v>No</v>
      </c>
      <c r="AK149" s="18">
        <v>1</v>
      </c>
      <c r="AL149" s="18" t="str">
        <f>IF(T_MEASURES[[#This Row],[Social Services]],"Yes","No")</f>
        <v>Yes</v>
      </c>
      <c r="AM149" s="18"/>
      <c r="AN149" s="18" t="str">
        <f>IF(T_MEASURES[[#This Row],[Emergency Services and Police]],"Yes","No")</f>
        <v>No</v>
      </c>
      <c r="AO149" s="18"/>
      <c r="AP149" s="18" t="str">
        <f>IF(T_MEASURES[[#This Row],[Parks and gardens (Urban Green Infrastructure)]],"Yes","No")</f>
        <v>No</v>
      </c>
      <c r="AQ149" s="18"/>
      <c r="AR149" s="18" t="str">
        <f>IF(T_MEASURES[[#This Row],[Transport]],"Yes","No")</f>
        <v>No</v>
      </c>
      <c r="AS149" s="158"/>
      <c r="AT149" s="1" t="str">
        <f>IF(T_MEASURES[[#This Row],[Coordination]],"Yes","No")</f>
        <v>No</v>
      </c>
      <c r="AU149" s="2">
        <v>1</v>
      </c>
      <c r="AV149" s="1">
        <v>1</v>
      </c>
      <c r="AW149" s="1">
        <v>1</v>
      </c>
      <c r="AX149" s="1">
        <v>1</v>
      </c>
      <c r="AY149" s="3">
        <v>1</v>
      </c>
      <c r="AZ149" s="86">
        <f>SUMPRODUCT($AT$15:$AX$15,T_MEASURES[[#This Row],[&lt;5.000]:[&gt;100.000]])</f>
        <v>1</v>
      </c>
      <c r="BA149" s="1">
        <v>1</v>
      </c>
      <c r="BB149" s="1">
        <v>1</v>
      </c>
      <c r="BC149" s="1">
        <v>1</v>
      </c>
      <c r="BD149" s="1">
        <v>1</v>
      </c>
      <c r="BE149" s="1">
        <v>1</v>
      </c>
      <c r="BF149" s="1">
        <v>1</v>
      </c>
      <c r="BG149" s="1">
        <v>1</v>
      </c>
      <c r="BH149" s="86" cm="1">
        <f t="array" ref="BH149">SUMPRODUCT(--((T_MEASURES[[#This Row],[Health or social care centers]:[Schools / Educational centers]] + $AZ$15:$BF$15)&gt;0))</f>
        <v>7</v>
      </c>
      <c r="BI149" s="1">
        <v>0</v>
      </c>
      <c r="BJ149" s="1">
        <v>0</v>
      </c>
      <c r="BK149" s="1">
        <v>3</v>
      </c>
      <c r="BL149" s="1">
        <v>2</v>
      </c>
      <c r="BM149" s="1">
        <v>3</v>
      </c>
      <c r="BN149" s="1">
        <v>2</v>
      </c>
      <c r="BO149" s="1">
        <v>2</v>
      </c>
      <c r="BP149" s="1">
        <v>3</v>
      </c>
      <c r="BQ149" s="96" cm="1">
        <f t="array" ref="BQ149">T_MEASURES[[#This Row],[Apply size]]*(SUMPRODUCT(T_MEASURES[[#This Row],[C1_Urban Cooling]:[C8_Time]],TRANSPOSE('2.WEIGHTS'!$L$12:$L$19))+(ROW(C149)-ROW($C$18)+1)*0.0000000001)*100</f>
        <v>187.50000132</v>
      </c>
      <c r="BR149" s="21"/>
      <c r="BS149" s="38"/>
    </row>
    <row r="150" spans="1:71" ht="33.6" x14ac:dyDescent="0.3">
      <c r="A150" s="21"/>
      <c r="B150" s="38"/>
      <c r="C150" s="21"/>
      <c r="D150" s="86">
        <f>IF(T_MEASURES[[#This Row],[Weight Criterion]]&lt;=0,"",_xlfn.RANK.EQ(T_MEASURES[[#This Row],[Weight Criterion]],T_MEASURES[Weight Criterion]))</f>
        <v>48</v>
      </c>
      <c r="E150" s="152" t="s">
        <v>392</v>
      </c>
      <c r="F150" s="151" t="s">
        <v>56</v>
      </c>
      <c r="G150" s="151" t="s">
        <v>42</v>
      </c>
      <c r="H150" s="151" t="s">
        <v>135</v>
      </c>
      <c r="I150" s="151" t="s">
        <v>393</v>
      </c>
      <c r="J150" s="151"/>
      <c r="K150" s="153">
        <v>1</v>
      </c>
      <c r="L150" s="18"/>
      <c r="M150" s="18"/>
      <c r="N150" s="154" t="str">
        <f t="shared" si="6"/>
        <v>€</v>
      </c>
      <c r="O150" s="155"/>
      <c r="P150" s="155">
        <v>1</v>
      </c>
      <c r="Q150" s="19">
        <v>1</v>
      </c>
      <c r="R150" s="155">
        <v>1</v>
      </c>
      <c r="S150" s="72" t="str">
        <f>IF(T_MEASURES[[#This Row],[No risk (0)]]=1,"■","")</f>
        <v/>
      </c>
      <c r="T150" s="73" t="str">
        <f>IF(T_MEASURES[[#This Row],[Low risk (1)]]=1,"■","")</f>
        <v>■</v>
      </c>
      <c r="U150" s="74" t="str">
        <f>IF(T_MEASURES[[#This Row],[Medium risk (2)]]=1,"■","")</f>
        <v>■</v>
      </c>
      <c r="V150" s="71" t="str">
        <f>IF(T_MEASURES[[#This Row],[High risk (3)]]=1,"■","")</f>
        <v>■</v>
      </c>
      <c r="W150" s="18" t="str">
        <f t="shared" si="7"/>
        <v>4. High (Red)</v>
      </c>
      <c r="X150" s="18">
        <f>COUNT(T_MEASURES[[#This Row],[Buildings and public facilities]:[Coordination]])</f>
        <v>1</v>
      </c>
      <c r="Y150" s="18"/>
      <c r="Z150" s="18" t="str">
        <f>IF(T_MEASURES[[#This Row],[Buildings and public facilities]]=1,"Yes","No")</f>
        <v>No</v>
      </c>
      <c r="AA150" s="18"/>
      <c r="AB150" s="18" t="str">
        <f>IF(T_MEASURES[[#This Row],[Urban planning]]=1,"Yes","No")</f>
        <v>No</v>
      </c>
      <c r="AC150" s="18"/>
      <c r="AD150" s="18" t="str">
        <f>IF(T_MEASURES[[#This Row],[Culture and Sports]],"Yes","No")</f>
        <v>No</v>
      </c>
      <c r="AE150" s="18"/>
      <c r="AF150" s="18" t="str">
        <f>IF(T_MEASURES[[#This Row],[Tourism]],"Yes","No")</f>
        <v>No</v>
      </c>
      <c r="AG150" s="18">
        <v>1</v>
      </c>
      <c r="AH150" s="18" t="str">
        <f>IF(T_MEASURES[[#This Row],[Occupational risks]],"Yes","No")</f>
        <v>Yes</v>
      </c>
      <c r="AI150" s="18"/>
      <c r="AJ150" s="18" t="str">
        <f>IF(T_MEASURES[[#This Row],[Education]],"Yes","No")</f>
        <v>No</v>
      </c>
      <c r="AK150" s="18"/>
      <c r="AL150" s="18" t="str">
        <f>IF(T_MEASURES[[#This Row],[Social Services]],"Yes","No")</f>
        <v>No</v>
      </c>
      <c r="AM150" s="18"/>
      <c r="AN150" s="18" t="str">
        <f>IF(T_MEASURES[[#This Row],[Emergency Services and Police]],"Yes","No")</f>
        <v>No</v>
      </c>
      <c r="AO150" s="18"/>
      <c r="AP150" s="18" t="str">
        <f>IF(T_MEASURES[[#This Row],[Parks and gardens (Urban Green Infrastructure)]],"Yes","No")</f>
        <v>No</v>
      </c>
      <c r="AQ150" s="18"/>
      <c r="AR150" s="18" t="str">
        <f>IF(T_MEASURES[[#This Row],[Transport]],"Yes","No")</f>
        <v>No</v>
      </c>
      <c r="AS150" s="158"/>
      <c r="AT150" s="1" t="str">
        <f>IF(T_MEASURES[[#This Row],[Coordination]],"Yes","No")</f>
        <v>No</v>
      </c>
      <c r="AU150" s="2">
        <v>1</v>
      </c>
      <c r="AV150" s="1">
        <v>1</v>
      </c>
      <c r="AW150" s="1">
        <v>1</v>
      </c>
      <c r="AX150" s="1">
        <v>1</v>
      </c>
      <c r="AY150" s="3">
        <v>1</v>
      </c>
      <c r="AZ150" s="86">
        <f>SUMPRODUCT($AT$15:$AX$15,T_MEASURES[[#This Row],[&lt;5.000]:[&gt;100.000]])</f>
        <v>1</v>
      </c>
      <c r="BA150" s="1">
        <v>1</v>
      </c>
      <c r="BB150" s="1">
        <v>1</v>
      </c>
      <c r="BC150" s="1">
        <v>1</v>
      </c>
      <c r="BD150" s="1">
        <v>1</v>
      </c>
      <c r="BE150" s="1">
        <v>1</v>
      </c>
      <c r="BF150" s="1">
        <v>1</v>
      </c>
      <c r="BG150" s="1">
        <v>1</v>
      </c>
      <c r="BH150" s="86" cm="1">
        <f t="array" ref="BH150">SUMPRODUCT(--((T_MEASURES[[#This Row],[Health or social care centers]:[Schools / Educational centers]] + $AZ$15:$BF$15)&gt;0))</f>
        <v>7</v>
      </c>
      <c r="BI150" s="88">
        <v>0</v>
      </c>
      <c r="BJ150" s="88">
        <v>0</v>
      </c>
      <c r="BK150" s="88">
        <v>2</v>
      </c>
      <c r="BL150" s="88">
        <v>2</v>
      </c>
      <c r="BM150" s="88">
        <v>3</v>
      </c>
      <c r="BN150" s="88">
        <v>2</v>
      </c>
      <c r="BO150" s="88">
        <v>3</v>
      </c>
      <c r="BP150" s="88">
        <v>3</v>
      </c>
      <c r="BQ150" s="96" cm="1">
        <f t="array" ref="BQ150">T_MEASURES[[#This Row],[Apply size]]*(SUMPRODUCT(T_MEASURES[[#This Row],[C1_Urban Cooling]:[C8_Time]],TRANSPOSE('2.WEIGHTS'!$L$12:$L$19))+(ROW(C150)-ROW($C$18)+1)*0.0000000001)*100</f>
        <v>187.50000133</v>
      </c>
      <c r="BR150" s="21"/>
      <c r="BS150" s="38"/>
    </row>
    <row r="151" spans="1:71" ht="33.6" x14ac:dyDescent="0.3">
      <c r="A151" s="21"/>
      <c r="B151" s="38"/>
      <c r="C151" s="21"/>
      <c r="D151" s="86">
        <f>IF(T_MEASURES[[#This Row],[Weight Criterion]]&lt;=0,"",_xlfn.RANK.EQ(T_MEASURES[[#This Row],[Weight Criterion]],T_MEASURES[Weight Criterion]))</f>
        <v>11</v>
      </c>
      <c r="E151" s="152" t="s">
        <v>394</v>
      </c>
      <c r="F151" s="151" t="s">
        <v>56</v>
      </c>
      <c r="G151" s="151" t="s">
        <v>42</v>
      </c>
      <c r="H151" s="151" t="s">
        <v>126</v>
      </c>
      <c r="I151" s="151" t="s">
        <v>395</v>
      </c>
      <c r="J151" s="151"/>
      <c r="K151" s="153">
        <v>1</v>
      </c>
      <c r="L151" s="18"/>
      <c r="M151" s="18"/>
      <c r="N151" s="154" t="str">
        <f t="shared" si="6"/>
        <v>€</v>
      </c>
      <c r="O151" s="155"/>
      <c r="P151" s="155">
        <v>1</v>
      </c>
      <c r="Q151" s="19">
        <v>1</v>
      </c>
      <c r="R151" s="155">
        <v>1</v>
      </c>
      <c r="S151" s="72" t="str">
        <f>IF(T_MEASURES[[#This Row],[No risk (0)]]=1,"■","")</f>
        <v/>
      </c>
      <c r="T151" s="73" t="str">
        <f>IF(T_MEASURES[[#This Row],[Low risk (1)]]=1,"■","")</f>
        <v>■</v>
      </c>
      <c r="U151" s="74" t="str">
        <f>IF(T_MEASURES[[#This Row],[Medium risk (2)]]=1,"■","")</f>
        <v>■</v>
      </c>
      <c r="V151" s="71" t="str">
        <f>IF(T_MEASURES[[#This Row],[High risk (3)]]=1,"■","")</f>
        <v>■</v>
      </c>
      <c r="W151" s="18" t="str">
        <f t="shared" si="7"/>
        <v>4. High (Red)</v>
      </c>
      <c r="X151" s="18">
        <f>COUNT(T_MEASURES[[#This Row],[Buildings and public facilities]:[Coordination]])</f>
        <v>1</v>
      </c>
      <c r="Y151" s="18"/>
      <c r="Z151" s="18" t="str">
        <f>IF(T_MEASURES[[#This Row],[Buildings and public facilities]]=1,"Yes","No")</f>
        <v>No</v>
      </c>
      <c r="AA151" s="18"/>
      <c r="AB151" s="18" t="str">
        <f>IF(T_MEASURES[[#This Row],[Urban planning]]=1,"Yes","No")</f>
        <v>No</v>
      </c>
      <c r="AC151" s="18"/>
      <c r="AD151" s="18" t="str">
        <f>IF(T_MEASURES[[#This Row],[Culture and Sports]],"Yes","No")</f>
        <v>No</v>
      </c>
      <c r="AE151" s="18"/>
      <c r="AF151" s="18" t="str">
        <f>IF(T_MEASURES[[#This Row],[Tourism]],"Yes","No")</f>
        <v>No</v>
      </c>
      <c r="AG151" s="18"/>
      <c r="AH151" s="18" t="str">
        <f>IF(T_MEASURES[[#This Row],[Occupational risks]],"Yes","No")</f>
        <v>No</v>
      </c>
      <c r="AI151" s="18"/>
      <c r="AJ151" s="18" t="str">
        <f>IF(T_MEASURES[[#This Row],[Education]],"Yes","No")</f>
        <v>No</v>
      </c>
      <c r="AK151" s="18">
        <v>1</v>
      </c>
      <c r="AL151" s="18" t="str">
        <f>IF(T_MEASURES[[#This Row],[Social Services]],"Yes","No")</f>
        <v>Yes</v>
      </c>
      <c r="AM151" s="18"/>
      <c r="AN151" s="18" t="str">
        <f>IF(T_MEASURES[[#This Row],[Emergency Services and Police]],"Yes","No")</f>
        <v>No</v>
      </c>
      <c r="AO151" s="18"/>
      <c r="AP151" s="18" t="str">
        <f>IF(T_MEASURES[[#This Row],[Parks and gardens (Urban Green Infrastructure)]],"Yes","No")</f>
        <v>No</v>
      </c>
      <c r="AQ151" s="18"/>
      <c r="AR151" s="18" t="str">
        <f>IF(T_MEASURES[[#This Row],[Transport]],"Yes","No")</f>
        <v>No</v>
      </c>
      <c r="AS151" s="158"/>
      <c r="AT151" s="1" t="str">
        <f>IF(T_MEASURES[[#This Row],[Coordination]],"Yes","No")</f>
        <v>No</v>
      </c>
      <c r="AU151" s="2">
        <v>1</v>
      </c>
      <c r="AV151" s="1">
        <v>1</v>
      </c>
      <c r="AW151" s="1">
        <v>1</v>
      </c>
      <c r="AX151" s="1">
        <v>1</v>
      </c>
      <c r="AY151" s="3">
        <v>1</v>
      </c>
      <c r="AZ151" s="86">
        <f>SUMPRODUCT($AT$15:$AX$15,T_MEASURES[[#This Row],[&lt;5.000]:[&gt;100.000]])</f>
        <v>1</v>
      </c>
      <c r="BA151" s="1">
        <v>1</v>
      </c>
      <c r="BB151" s="1">
        <v>1</v>
      </c>
      <c r="BC151" s="1">
        <v>1</v>
      </c>
      <c r="BD151" s="1">
        <v>1</v>
      </c>
      <c r="BE151" s="1">
        <v>1</v>
      </c>
      <c r="BF151" s="1">
        <v>1</v>
      </c>
      <c r="BG151" s="1">
        <v>1</v>
      </c>
      <c r="BH151" s="86" cm="1">
        <f t="array" ref="BH151">SUMPRODUCT(--((T_MEASURES[[#This Row],[Health or social care centers]:[Schools / Educational centers]] + $AZ$15:$BF$15)&gt;0))</f>
        <v>7</v>
      </c>
      <c r="BI151" s="1">
        <v>0</v>
      </c>
      <c r="BJ151" s="1">
        <v>0</v>
      </c>
      <c r="BK151" s="1">
        <v>2</v>
      </c>
      <c r="BL151" s="1">
        <v>3</v>
      </c>
      <c r="BM151" s="1">
        <v>3</v>
      </c>
      <c r="BN151" s="1">
        <v>2</v>
      </c>
      <c r="BO151" s="1">
        <v>3</v>
      </c>
      <c r="BP151" s="1">
        <v>3</v>
      </c>
      <c r="BQ151" s="96" cm="1">
        <f t="array" ref="BQ151">T_MEASURES[[#This Row],[Apply size]]*(SUMPRODUCT(T_MEASURES[[#This Row],[C1_Urban Cooling]:[C8_Time]],TRANSPOSE('2.WEIGHTS'!$L$12:$L$19))+(ROW(C151)-ROW($C$18)+1)*0.0000000001)*100</f>
        <v>200.00000134000001</v>
      </c>
      <c r="BR151" s="21"/>
      <c r="BS151" s="38"/>
    </row>
    <row r="152" spans="1:71" ht="33.6" x14ac:dyDescent="0.3">
      <c r="A152" s="21"/>
      <c r="B152" s="38"/>
      <c r="C152" s="21"/>
      <c r="D152" s="86">
        <f>IF(T_MEASURES[[#This Row],[Weight Criterion]]&lt;=0,"",_xlfn.RANK.EQ(T_MEASURES[[#This Row],[Weight Criterion]],T_MEASURES[Weight Criterion]))</f>
        <v>47</v>
      </c>
      <c r="E152" s="152" t="s">
        <v>396</v>
      </c>
      <c r="F152" s="151" t="s">
        <v>56</v>
      </c>
      <c r="G152" s="151" t="s">
        <v>42</v>
      </c>
      <c r="H152" s="151" t="s">
        <v>126</v>
      </c>
      <c r="I152" s="151" t="s">
        <v>397</v>
      </c>
      <c r="J152" s="151"/>
      <c r="K152" s="153">
        <v>1</v>
      </c>
      <c r="L152" s="18"/>
      <c r="M152" s="18"/>
      <c r="N152" s="154" t="str">
        <f t="shared" si="6"/>
        <v>€</v>
      </c>
      <c r="O152" s="155"/>
      <c r="P152" s="155">
        <v>1</v>
      </c>
      <c r="Q152" s="19">
        <v>1</v>
      </c>
      <c r="R152" s="155">
        <v>1</v>
      </c>
      <c r="S152" s="72" t="str">
        <f>IF(T_MEASURES[[#This Row],[No risk (0)]]=1,"■","")</f>
        <v/>
      </c>
      <c r="T152" s="73" t="str">
        <f>IF(T_MEASURES[[#This Row],[Low risk (1)]]=1,"■","")</f>
        <v>■</v>
      </c>
      <c r="U152" s="74" t="str">
        <f>IF(T_MEASURES[[#This Row],[Medium risk (2)]]=1,"■","")</f>
        <v>■</v>
      </c>
      <c r="V152" s="71" t="str">
        <f>IF(T_MEASURES[[#This Row],[High risk (3)]]=1,"■","")</f>
        <v>■</v>
      </c>
      <c r="W152" s="18" t="str">
        <f t="shared" si="7"/>
        <v>4. High (Red)</v>
      </c>
      <c r="X152" s="18">
        <f>COUNT(T_MEASURES[[#This Row],[Buildings and public facilities]:[Coordination]])</f>
        <v>2</v>
      </c>
      <c r="Y152" s="18"/>
      <c r="Z152" s="18" t="str">
        <f>IF(T_MEASURES[[#This Row],[Buildings and public facilities]]=1,"Yes","No")</f>
        <v>No</v>
      </c>
      <c r="AA152" s="18"/>
      <c r="AB152" s="18" t="str">
        <f>IF(T_MEASURES[[#This Row],[Urban planning]]=1,"Yes","No")</f>
        <v>No</v>
      </c>
      <c r="AC152" s="18"/>
      <c r="AD152" s="18" t="str">
        <f>IF(T_MEASURES[[#This Row],[Culture and Sports]],"Yes","No")</f>
        <v>No</v>
      </c>
      <c r="AE152" s="18"/>
      <c r="AF152" s="18" t="str">
        <f>IF(T_MEASURES[[#This Row],[Tourism]],"Yes","No")</f>
        <v>No</v>
      </c>
      <c r="AG152" s="18"/>
      <c r="AH152" s="18" t="str">
        <f>IF(T_MEASURES[[#This Row],[Occupational risks]],"Yes","No")</f>
        <v>No</v>
      </c>
      <c r="AI152" s="18"/>
      <c r="AJ152" s="18" t="str">
        <f>IF(T_MEASURES[[#This Row],[Education]],"Yes","No")</f>
        <v>No</v>
      </c>
      <c r="AK152" s="18"/>
      <c r="AL152" s="18" t="str">
        <f>IF(T_MEASURES[[#This Row],[Social Services]],"Yes","No")</f>
        <v>No</v>
      </c>
      <c r="AM152" s="18">
        <v>1</v>
      </c>
      <c r="AN152" s="18" t="str">
        <f>IF(T_MEASURES[[#This Row],[Emergency Services and Police]],"Yes","No")</f>
        <v>Yes</v>
      </c>
      <c r="AO152" s="18"/>
      <c r="AP152" s="18" t="str">
        <f>IF(T_MEASURES[[#This Row],[Parks and gardens (Urban Green Infrastructure)]],"Yes","No")</f>
        <v>No</v>
      </c>
      <c r="AQ152" s="18"/>
      <c r="AR152" s="18" t="str">
        <f>IF(T_MEASURES[[#This Row],[Transport]],"Yes","No")</f>
        <v>No</v>
      </c>
      <c r="AS152" s="158">
        <v>1</v>
      </c>
      <c r="AT152" s="1" t="str">
        <f>IF(T_MEASURES[[#This Row],[Coordination]],"Yes","No")</f>
        <v>Yes</v>
      </c>
      <c r="AU152" s="2">
        <v>1</v>
      </c>
      <c r="AV152" s="1">
        <v>1</v>
      </c>
      <c r="AW152" s="1">
        <v>1</v>
      </c>
      <c r="AX152" s="1">
        <v>1</v>
      </c>
      <c r="AY152" s="3">
        <v>1</v>
      </c>
      <c r="AZ152" s="86">
        <f>SUMPRODUCT($AT$15:$AX$15,T_MEASURES[[#This Row],[&lt;5.000]:[&gt;100.000]])</f>
        <v>1</v>
      </c>
      <c r="BA152" s="1">
        <v>1</v>
      </c>
      <c r="BB152" s="1">
        <v>1</v>
      </c>
      <c r="BC152" s="1">
        <v>1</v>
      </c>
      <c r="BD152" s="1">
        <v>1</v>
      </c>
      <c r="BE152" s="1">
        <v>1</v>
      </c>
      <c r="BF152" s="1">
        <v>1</v>
      </c>
      <c r="BG152" s="1">
        <v>1</v>
      </c>
      <c r="BH152" s="86" cm="1">
        <f t="array" ref="BH152">SUMPRODUCT(--((T_MEASURES[[#This Row],[Health or social care centers]:[Schools / Educational centers]] + $AZ$15:$BF$15)&gt;0))</f>
        <v>7</v>
      </c>
      <c r="BI152" s="88">
        <v>0</v>
      </c>
      <c r="BJ152" s="88">
        <v>0</v>
      </c>
      <c r="BK152" s="88">
        <v>2</v>
      </c>
      <c r="BL152" s="88">
        <v>2</v>
      </c>
      <c r="BM152" s="88">
        <v>3</v>
      </c>
      <c r="BN152" s="88">
        <v>2</v>
      </c>
      <c r="BO152" s="88">
        <v>3</v>
      </c>
      <c r="BP152" s="88">
        <v>3</v>
      </c>
      <c r="BQ152" s="96" cm="1">
        <f t="array" ref="BQ152">T_MEASURES[[#This Row],[Apply size]]*(SUMPRODUCT(T_MEASURES[[#This Row],[C1_Urban Cooling]:[C8_Time]],TRANSPOSE('2.WEIGHTS'!$L$12:$L$19))+(ROW(C152)-ROW($C$18)+1)*0.0000000001)*100</f>
        <v>187.50000134999999</v>
      </c>
      <c r="BR152" s="21"/>
      <c r="BS152" s="38"/>
    </row>
    <row r="153" spans="1:71" ht="33.6" x14ac:dyDescent="0.3">
      <c r="A153" s="21"/>
      <c r="B153" s="38"/>
      <c r="C153" s="21"/>
      <c r="D153" s="86">
        <f>IF(T_MEASURES[[#This Row],[Weight Criterion]]&lt;=0,"",_xlfn.RANK.EQ(T_MEASURES[[#This Row],[Weight Criterion]],T_MEASURES[Weight Criterion]))</f>
        <v>46</v>
      </c>
      <c r="E153" s="152" t="s">
        <v>398</v>
      </c>
      <c r="F153" s="151" t="s">
        <v>56</v>
      </c>
      <c r="G153" s="151" t="s">
        <v>42</v>
      </c>
      <c r="H153" s="151" t="s">
        <v>135</v>
      </c>
      <c r="I153" s="151" t="s">
        <v>399</v>
      </c>
      <c r="J153" s="151"/>
      <c r="K153" s="153">
        <v>1</v>
      </c>
      <c r="L153" s="18"/>
      <c r="M153" s="18"/>
      <c r="N153" s="154" t="str">
        <f t="shared" si="6"/>
        <v>€</v>
      </c>
      <c r="O153" s="155"/>
      <c r="P153" s="155">
        <v>1</v>
      </c>
      <c r="Q153" s="19">
        <v>1</v>
      </c>
      <c r="R153" s="155">
        <v>1</v>
      </c>
      <c r="S153" s="72" t="str">
        <f>IF(T_MEASURES[[#This Row],[No risk (0)]]=1,"■","")</f>
        <v/>
      </c>
      <c r="T153" s="73" t="str">
        <f>IF(T_MEASURES[[#This Row],[Low risk (1)]]=1,"■","")</f>
        <v>■</v>
      </c>
      <c r="U153" s="74" t="str">
        <f>IF(T_MEASURES[[#This Row],[Medium risk (2)]]=1,"■","")</f>
        <v>■</v>
      </c>
      <c r="V153" s="71" t="str">
        <f>IF(T_MEASURES[[#This Row],[High risk (3)]]=1,"■","")</f>
        <v>■</v>
      </c>
      <c r="W153" s="18" t="str">
        <f t="shared" si="7"/>
        <v>4. High (Red)</v>
      </c>
      <c r="X153" s="18">
        <f>COUNT(T_MEASURES[[#This Row],[Buildings and public facilities]:[Coordination]])</f>
        <v>1</v>
      </c>
      <c r="Y153" s="18"/>
      <c r="Z153" s="18" t="str">
        <f>IF(T_MEASURES[[#This Row],[Buildings and public facilities]]=1,"Yes","No")</f>
        <v>No</v>
      </c>
      <c r="AA153" s="18"/>
      <c r="AB153" s="18" t="str">
        <f>IF(T_MEASURES[[#This Row],[Urban planning]]=1,"Yes","No")</f>
        <v>No</v>
      </c>
      <c r="AC153" s="18"/>
      <c r="AD153" s="18" t="str">
        <f>IF(T_MEASURES[[#This Row],[Culture and Sports]],"Yes","No")</f>
        <v>No</v>
      </c>
      <c r="AE153" s="18"/>
      <c r="AF153" s="18" t="str">
        <f>IF(T_MEASURES[[#This Row],[Tourism]],"Yes","No")</f>
        <v>No</v>
      </c>
      <c r="AG153" s="18"/>
      <c r="AH153" s="18" t="str">
        <f>IF(T_MEASURES[[#This Row],[Occupational risks]],"Yes","No")</f>
        <v>No</v>
      </c>
      <c r="AI153" s="18"/>
      <c r="AJ153" s="18" t="str">
        <f>IF(T_MEASURES[[#This Row],[Education]],"Yes","No")</f>
        <v>No</v>
      </c>
      <c r="AK153" s="18">
        <v>1</v>
      </c>
      <c r="AL153" s="18" t="str">
        <f>IF(T_MEASURES[[#This Row],[Social Services]],"Yes","No")</f>
        <v>Yes</v>
      </c>
      <c r="AM153" s="18"/>
      <c r="AN153" s="18" t="str">
        <f>IF(T_MEASURES[[#This Row],[Emergency Services and Police]],"Yes","No")</f>
        <v>No</v>
      </c>
      <c r="AO153" s="18"/>
      <c r="AP153" s="18" t="str">
        <f>IF(T_MEASURES[[#This Row],[Parks and gardens (Urban Green Infrastructure)]],"Yes","No")</f>
        <v>No</v>
      </c>
      <c r="AQ153" s="18"/>
      <c r="AR153" s="18" t="str">
        <f>IF(T_MEASURES[[#This Row],[Transport]],"Yes","No")</f>
        <v>No</v>
      </c>
      <c r="AS153" s="158"/>
      <c r="AT153" s="1" t="str">
        <f>IF(T_MEASURES[[#This Row],[Coordination]],"Yes","No")</f>
        <v>No</v>
      </c>
      <c r="AU153" s="2">
        <v>1</v>
      </c>
      <c r="AV153" s="1">
        <v>1</v>
      </c>
      <c r="AW153" s="1">
        <v>1</v>
      </c>
      <c r="AX153" s="1">
        <v>1</v>
      </c>
      <c r="AY153" s="3">
        <v>1</v>
      </c>
      <c r="AZ153" s="86">
        <f>SUMPRODUCT($AT$15:$AX$15,T_MEASURES[[#This Row],[&lt;5.000]:[&gt;100.000]])</f>
        <v>1</v>
      </c>
      <c r="BA153" s="1">
        <v>1</v>
      </c>
      <c r="BB153" s="1">
        <v>1</v>
      </c>
      <c r="BC153" s="1">
        <v>1</v>
      </c>
      <c r="BD153" s="1">
        <v>1</v>
      </c>
      <c r="BE153" s="1">
        <v>1</v>
      </c>
      <c r="BF153" s="1">
        <v>1</v>
      </c>
      <c r="BG153" s="1">
        <v>1</v>
      </c>
      <c r="BH153" s="86" cm="1">
        <f t="array" ref="BH153">SUMPRODUCT(--((T_MEASURES[[#This Row],[Health or social care centers]:[Schools / Educational centers]] + $AZ$15:$BF$15)&gt;0))</f>
        <v>7</v>
      </c>
      <c r="BI153" s="1">
        <v>0</v>
      </c>
      <c r="BJ153" s="1">
        <v>0</v>
      </c>
      <c r="BK153" s="1">
        <v>2</v>
      </c>
      <c r="BL153" s="1">
        <v>2</v>
      </c>
      <c r="BM153" s="1">
        <v>3</v>
      </c>
      <c r="BN153" s="1">
        <v>2</v>
      </c>
      <c r="BO153" s="1">
        <v>3</v>
      </c>
      <c r="BP153" s="1">
        <v>3</v>
      </c>
      <c r="BQ153" s="96" cm="1">
        <f t="array" ref="BQ153">T_MEASURES[[#This Row],[Apply size]]*(SUMPRODUCT(T_MEASURES[[#This Row],[C1_Urban Cooling]:[C8_Time]],TRANSPOSE('2.WEIGHTS'!$L$12:$L$19))+(ROW(C153)-ROW($C$18)+1)*0.0000000001)*100</f>
        <v>187.50000136</v>
      </c>
      <c r="BR153" s="21"/>
      <c r="BS153" s="38"/>
    </row>
    <row r="154" spans="1:71" ht="33.6" x14ac:dyDescent="0.3">
      <c r="A154" s="21"/>
      <c r="B154" s="38"/>
      <c r="C154" s="21"/>
      <c r="D154" s="86">
        <f>IF(T_MEASURES[[#This Row],[Weight Criterion]]&lt;=0,"",_xlfn.RANK.EQ(T_MEASURES[[#This Row],[Weight Criterion]],T_MEASURES[Weight Criterion]))</f>
        <v>45</v>
      </c>
      <c r="E154" s="152" t="s">
        <v>400</v>
      </c>
      <c r="F154" s="151" t="s">
        <v>56</v>
      </c>
      <c r="G154" s="151" t="s">
        <v>42</v>
      </c>
      <c r="H154" s="151" t="s">
        <v>126</v>
      </c>
      <c r="I154" s="151" t="s">
        <v>401</v>
      </c>
      <c r="J154" s="151"/>
      <c r="K154" s="153">
        <v>1</v>
      </c>
      <c r="L154" s="18"/>
      <c r="M154" s="18"/>
      <c r="N154" s="154" t="str">
        <f t="shared" si="6"/>
        <v>€</v>
      </c>
      <c r="O154" s="155"/>
      <c r="P154" s="155"/>
      <c r="Q154" s="19">
        <v>1</v>
      </c>
      <c r="R154" s="155">
        <v>1</v>
      </c>
      <c r="S154" s="72" t="str">
        <f>IF(T_MEASURES[[#This Row],[No risk (0)]]=1,"■","")</f>
        <v/>
      </c>
      <c r="T154" s="73" t="str">
        <f>IF(T_MEASURES[[#This Row],[Low risk (1)]]=1,"■","")</f>
        <v/>
      </c>
      <c r="U154" s="74" t="str">
        <f>IF(T_MEASURES[[#This Row],[Medium risk (2)]]=1,"■","")</f>
        <v>■</v>
      </c>
      <c r="V154" s="71" t="str">
        <f>IF(T_MEASURES[[#This Row],[High risk (3)]]=1,"■","")</f>
        <v>■</v>
      </c>
      <c r="W154" s="18" t="str">
        <f t="shared" si="7"/>
        <v>4. High (Red)</v>
      </c>
      <c r="X154" s="18">
        <f>COUNT(T_MEASURES[[#This Row],[Buildings and public facilities]:[Coordination]])</f>
        <v>1</v>
      </c>
      <c r="Y154" s="18"/>
      <c r="Z154" s="18" t="str">
        <f>IF(T_MEASURES[[#This Row],[Buildings and public facilities]]=1,"Yes","No")</f>
        <v>No</v>
      </c>
      <c r="AA154" s="18"/>
      <c r="AB154" s="18" t="str">
        <f>IF(T_MEASURES[[#This Row],[Urban planning]]=1,"Yes","No")</f>
        <v>No</v>
      </c>
      <c r="AC154" s="18">
        <v>1</v>
      </c>
      <c r="AD154" s="18" t="str">
        <f>IF(T_MEASURES[[#This Row],[Culture and Sports]],"Yes","No")</f>
        <v>Yes</v>
      </c>
      <c r="AE154" s="18"/>
      <c r="AF154" s="18" t="str">
        <f>IF(T_MEASURES[[#This Row],[Tourism]],"Yes","No")</f>
        <v>No</v>
      </c>
      <c r="AG154" s="18"/>
      <c r="AH154" s="18" t="str">
        <f>IF(T_MEASURES[[#This Row],[Occupational risks]],"Yes","No")</f>
        <v>No</v>
      </c>
      <c r="AI154" s="18"/>
      <c r="AJ154" s="18" t="str">
        <f>IF(T_MEASURES[[#This Row],[Education]],"Yes","No")</f>
        <v>No</v>
      </c>
      <c r="AK154" s="18"/>
      <c r="AL154" s="18" t="str">
        <f>IF(T_MEASURES[[#This Row],[Social Services]],"Yes","No")</f>
        <v>No</v>
      </c>
      <c r="AM154" s="18"/>
      <c r="AN154" s="18" t="str">
        <f>IF(T_MEASURES[[#This Row],[Emergency Services and Police]],"Yes","No")</f>
        <v>No</v>
      </c>
      <c r="AO154" s="18"/>
      <c r="AP154" s="18" t="str">
        <f>IF(T_MEASURES[[#This Row],[Parks and gardens (Urban Green Infrastructure)]],"Yes","No")</f>
        <v>No</v>
      </c>
      <c r="AQ154" s="18"/>
      <c r="AR154" s="18" t="str">
        <f>IF(T_MEASURES[[#This Row],[Transport]],"Yes","No")</f>
        <v>No</v>
      </c>
      <c r="AS154" s="158"/>
      <c r="AT154" s="1" t="str">
        <f>IF(T_MEASURES[[#This Row],[Coordination]],"Yes","No")</f>
        <v>No</v>
      </c>
      <c r="AU154" s="2">
        <v>1</v>
      </c>
      <c r="AV154" s="1">
        <v>1</v>
      </c>
      <c r="AW154" s="1">
        <v>1</v>
      </c>
      <c r="AX154" s="1">
        <v>1</v>
      </c>
      <c r="AY154" s="3">
        <v>1</v>
      </c>
      <c r="AZ154" s="86">
        <f>SUMPRODUCT($AT$15:$AX$15,T_MEASURES[[#This Row],[&lt;5.000]:[&gt;100.000]])</f>
        <v>1</v>
      </c>
      <c r="BA154" s="1">
        <v>1</v>
      </c>
      <c r="BB154" s="1">
        <v>1</v>
      </c>
      <c r="BC154" s="1">
        <v>1</v>
      </c>
      <c r="BD154" s="1">
        <v>1</v>
      </c>
      <c r="BE154" s="1">
        <v>1</v>
      </c>
      <c r="BF154" s="1">
        <v>1</v>
      </c>
      <c r="BG154" s="1">
        <v>1</v>
      </c>
      <c r="BH154" s="86" cm="1">
        <f t="array" ref="BH154">SUMPRODUCT(--((T_MEASURES[[#This Row],[Health or social care centers]:[Schools / Educational centers]] + $AZ$15:$BF$15)&gt;0))</f>
        <v>7</v>
      </c>
      <c r="BI154" s="88">
        <v>0</v>
      </c>
      <c r="BJ154" s="88">
        <v>0</v>
      </c>
      <c r="BK154" s="88">
        <v>2</v>
      </c>
      <c r="BL154" s="88">
        <v>2</v>
      </c>
      <c r="BM154" s="88">
        <v>3</v>
      </c>
      <c r="BN154" s="88">
        <v>2</v>
      </c>
      <c r="BO154" s="88">
        <v>3</v>
      </c>
      <c r="BP154" s="88">
        <v>3</v>
      </c>
      <c r="BQ154" s="96" cm="1">
        <f t="array" ref="BQ154">T_MEASURES[[#This Row],[Apply size]]*(SUMPRODUCT(T_MEASURES[[#This Row],[C1_Urban Cooling]:[C8_Time]],TRANSPOSE('2.WEIGHTS'!$L$12:$L$19))+(ROW(C154)-ROW($C$18)+1)*0.0000000001)*100</f>
        <v>187.50000137000001</v>
      </c>
      <c r="BR154" s="21"/>
      <c r="BS154" s="38"/>
    </row>
    <row r="155" spans="1:71" ht="33.6" x14ac:dyDescent="0.3">
      <c r="A155" s="21"/>
      <c r="B155" s="38"/>
      <c r="C155" s="21"/>
      <c r="D155" s="86">
        <f>IF(T_MEASURES[[#This Row],[Weight Criterion]]&lt;=0,"",_xlfn.RANK.EQ(T_MEASURES[[#This Row],[Weight Criterion]],T_MEASURES[Weight Criterion]))</f>
        <v>44</v>
      </c>
      <c r="E155" s="152" t="s">
        <v>402</v>
      </c>
      <c r="F155" s="151" t="s">
        <v>56</v>
      </c>
      <c r="G155" s="151" t="s">
        <v>42</v>
      </c>
      <c r="H155" s="151" t="s">
        <v>126</v>
      </c>
      <c r="I155" s="151" t="s">
        <v>403</v>
      </c>
      <c r="J155" s="151"/>
      <c r="K155" s="153">
        <v>1</v>
      </c>
      <c r="L155" s="18"/>
      <c r="M155" s="18"/>
      <c r="N155" s="154" t="str">
        <f t="shared" si="6"/>
        <v>€</v>
      </c>
      <c r="O155" s="155"/>
      <c r="P155" s="155"/>
      <c r="Q155" s="19">
        <v>1</v>
      </c>
      <c r="R155" s="155">
        <v>1</v>
      </c>
      <c r="S155" s="72" t="str">
        <f>IF(T_MEASURES[[#This Row],[No risk (0)]]=1,"■","")</f>
        <v/>
      </c>
      <c r="T155" s="73" t="str">
        <f>IF(T_MEASURES[[#This Row],[Low risk (1)]]=1,"■","")</f>
        <v/>
      </c>
      <c r="U155" s="74" t="str">
        <f>IF(T_MEASURES[[#This Row],[Medium risk (2)]]=1,"■","")</f>
        <v>■</v>
      </c>
      <c r="V155" s="71" t="str">
        <f>IF(T_MEASURES[[#This Row],[High risk (3)]]=1,"■","")</f>
        <v>■</v>
      </c>
      <c r="W155" s="18" t="str">
        <f t="shared" si="7"/>
        <v>4. High (Red)</v>
      </c>
      <c r="X155" s="18">
        <f>COUNT(T_MEASURES[[#This Row],[Buildings and public facilities]:[Coordination]])</f>
        <v>1</v>
      </c>
      <c r="Y155" s="18"/>
      <c r="Z155" s="18" t="str">
        <f>IF(T_MEASURES[[#This Row],[Buildings and public facilities]]=1,"Yes","No")</f>
        <v>No</v>
      </c>
      <c r="AA155" s="18"/>
      <c r="AB155" s="18" t="str">
        <f>IF(T_MEASURES[[#This Row],[Urban planning]]=1,"Yes","No")</f>
        <v>No</v>
      </c>
      <c r="AC155" s="18">
        <v>1</v>
      </c>
      <c r="AD155" s="18" t="str">
        <f>IF(T_MEASURES[[#This Row],[Culture and Sports]],"Yes","No")</f>
        <v>Yes</v>
      </c>
      <c r="AE155" s="18"/>
      <c r="AF155" s="18" t="str">
        <f>IF(T_MEASURES[[#This Row],[Tourism]],"Yes","No")</f>
        <v>No</v>
      </c>
      <c r="AG155" s="18"/>
      <c r="AH155" s="18" t="str">
        <f>IF(T_MEASURES[[#This Row],[Occupational risks]],"Yes","No")</f>
        <v>No</v>
      </c>
      <c r="AI155" s="18"/>
      <c r="AJ155" s="18" t="str">
        <f>IF(T_MEASURES[[#This Row],[Education]],"Yes","No")</f>
        <v>No</v>
      </c>
      <c r="AK155" s="18"/>
      <c r="AL155" s="18" t="str">
        <f>IF(T_MEASURES[[#This Row],[Social Services]],"Yes","No")</f>
        <v>No</v>
      </c>
      <c r="AM155" s="18"/>
      <c r="AN155" s="18" t="str">
        <f>IF(T_MEASURES[[#This Row],[Emergency Services and Police]],"Yes","No")</f>
        <v>No</v>
      </c>
      <c r="AO155" s="18"/>
      <c r="AP155" s="18" t="str">
        <f>IF(T_MEASURES[[#This Row],[Parks and gardens (Urban Green Infrastructure)]],"Yes","No")</f>
        <v>No</v>
      </c>
      <c r="AQ155" s="18"/>
      <c r="AR155" s="18" t="str">
        <f>IF(T_MEASURES[[#This Row],[Transport]],"Yes","No")</f>
        <v>No</v>
      </c>
      <c r="AS155" s="158"/>
      <c r="AT155" s="1" t="str">
        <f>IF(T_MEASURES[[#This Row],[Coordination]],"Yes","No")</f>
        <v>No</v>
      </c>
      <c r="AU155" s="2">
        <v>1</v>
      </c>
      <c r="AV155" s="1">
        <v>1</v>
      </c>
      <c r="AW155" s="1">
        <v>1</v>
      </c>
      <c r="AX155" s="1">
        <v>1</v>
      </c>
      <c r="AY155" s="3">
        <v>1</v>
      </c>
      <c r="AZ155" s="86">
        <f>SUMPRODUCT($AT$15:$AX$15,T_MEASURES[[#This Row],[&lt;5.000]:[&gt;100.000]])</f>
        <v>1</v>
      </c>
      <c r="BA155" s="1">
        <v>1</v>
      </c>
      <c r="BB155" s="1">
        <v>1</v>
      </c>
      <c r="BC155" s="1">
        <v>1</v>
      </c>
      <c r="BD155" s="1">
        <v>1</v>
      </c>
      <c r="BE155" s="1">
        <v>1</v>
      </c>
      <c r="BF155" s="1">
        <v>1</v>
      </c>
      <c r="BG155" s="1">
        <v>1</v>
      </c>
      <c r="BH155" s="86" cm="1">
        <f t="array" ref="BH155">SUMPRODUCT(--((T_MEASURES[[#This Row],[Health or social care centers]:[Schools / Educational centers]] + $AZ$15:$BF$15)&gt;0))</f>
        <v>7</v>
      </c>
      <c r="BI155" s="1">
        <v>0</v>
      </c>
      <c r="BJ155" s="1">
        <v>0</v>
      </c>
      <c r="BK155" s="1">
        <v>2</v>
      </c>
      <c r="BL155" s="1">
        <v>2</v>
      </c>
      <c r="BM155" s="1">
        <v>3</v>
      </c>
      <c r="BN155" s="1">
        <v>2</v>
      </c>
      <c r="BO155" s="1">
        <v>3</v>
      </c>
      <c r="BP155" s="1">
        <v>3</v>
      </c>
      <c r="BQ155" s="96" cm="1">
        <f t="array" ref="BQ155">T_MEASURES[[#This Row],[Apply size]]*(SUMPRODUCT(T_MEASURES[[#This Row],[C1_Urban Cooling]:[C8_Time]],TRANSPOSE('2.WEIGHTS'!$L$12:$L$19))+(ROW(C155)-ROW($C$18)+1)*0.0000000001)*100</f>
        <v>187.50000138000001</v>
      </c>
      <c r="BR155" s="21"/>
      <c r="BS155" s="38"/>
    </row>
    <row r="156" spans="1:71" ht="33.6" x14ac:dyDescent="0.3">
      <c r="A156" s="21"/>
      <c r="B156" s="38"/>
      <c r="C156" s="21"/>
      <c r="D156" s="86">
        <f>IF(T_MEASURES[[#This Row],[Weight Criterion]]&lt;=0,"",_xlfn.RANK.EQ(T_MEASURES[[#This Row],[Weight Criterion]],T_MEASURES[Weight Criterion]))</f>
        <v>43</v>
      </c>
      <c r="E156" s="152" t="s">
        <v>404</v>
      </c>
      <c r="F156" s="151" t="s">
        <v>56</v>
      </c>
      <c r="G156" s="151" t="s">
        <v>43</v>
      </c>
      <c r="H156" s="151" t="s">
        <v>363</v>
      </c>
      <c r="I156" s="151" t="s">
        <v>405</v>
      </c>
      <c r="J156" s="151"/>
      <c r="K156" s="153">
        <v>1</v>
      </c>
      <c r="L156" s="18"/>
      <c r="M156" s="18"/>
      <c r="N156" s="154" t="str">
        <f t="shared" si="6"/>
        <v>€</v>
      </c>
      <c r="O156" s="155"/>
      <c r="P156" s="155"/>
      <c r="Q156" s="19">
        <v>1</v>
      </c>
      <c r="R156" s="155">
        <v>1</v>
      </c>
      <c r="S156" s="72" t="str">
        <f>IF(T_MEASURES[[#This Row],[No risk (0)]]=1,"■","")</f>
        <v/>
      </c>
      <c r="T156" s="73" t="str">
        <f>IF(T_MEASURES[[#This Row],[Low risk (1)]]=1,"■","")</f>
        <v/>
      </c>
      <c r="U156" s="74" t="str">
        <f>IF(T_MEASURES[[#This Row],[Medium risk (2)]]=1,"■","")</f>
        <v>■</v>
      </c>
      <c r="V156" s="71" t="str">
        <f>IF(T_MEASURES[[#This Row],[High risk (3)]]=1,"■","")</f>
        <v>■</v>
      </c>
      <c r="W156" s="18" t="str">
        <f t="shared" si="7"/>
        <v>4. High (Red)</v>
      </c>
      <c r="X156" s="18">
        <f>COUNT(T_MEASURES[[#This Row],[Buildings and public facilities]:[Coordination]])</f>
        <v>1</v>
      </c>
      <c r="Y156" s="18"/>
      <c r="Z156" s="18" t="str">
        <f>IF(T_MEASURES[[#This Row],[Buildings and public facilities]]=1,"Yes","No")</f>
        <v>No</v>
      </c>
      <c r="AA156" s="18"/>
      <c r="AB156" s="18" t="str">
        <f>IF(T_MEASURES[[#This Row],[Urban planning]]=1,"Yes","No")</f>
        <v>No</v>
      </c>
      <c r="AC156" s="18"/>
      <c r="AD156" s="18" t="str">
        <f>IF(T_MEASURES[[#This Row],[Culture and Sports]],"Yes","No")</f>
        <v>No</v>
      </c>
      <c r="AE156" s="18">
        <v>1</v>
      </c>
      <c r="AF156" s="18" t="str">
        <f>IF(T_MEASURES[[#This Row],[Tourism]],"Yes","No")</f>
        <v>Yes</v>
      </c>
      <c r="AG156" s="18"/>
      <c r="AH156" s="18" t="str">
        <f>IF(T_MEASURES[[#This Row],[Occupational risks]],"Yes","No")</f>
        <v>No</v>
      </c>
      <c r="AI156" s="18"/>
      <c r="AJ156" s="18" t="str">
        <f>IF(T_MEASURES[[#This Row],[Education]],"Yes","No")</f>
        <v>No</v>
      </c>
      <c r="AK156" s="18"/>
      <c r="AL156" s="18" t="str">
        <f>IF(T_MEASURES[[#This Row],[Social Services]],"Yes","No")</f>
        <v>No</v>
      </c>
      <c r="AM156" s="18"/>
      <c r="AN156" s="18" t="str">
        <f>IF(T_MEASURES[[#This Row],[Emergency Services and Police]],"Yes","No")</f>
        <v>No</v>
      </c>
      <c r="AO156" s="18"/>
      <c r="AP156" s="18" t="str">
        <f>IF(T_MEASURES[[#This Row],[Parks and gardens (Urban Green Infrastructure)]],"Yes","No")</f>
        <v>No</v>
      </c>
      <c r="AQ156" s="18"/>
      <c r="AR156" s="18" t="str">
        <f>IF(T_MEASURES[[#This Row],[Transport]],"Yes","No")</f>
        <v>No</v>
      </c>
      <c r="AS156" s="158"/>
      <c r="AT156" s="1" t="str">
        <f>IF(T_MEASURES[[#This Row],[Coordination]],"Yes","No")</f>
        <v>No</v>
      </c>
      <c r="AU156" s="2">
        <v>1</v>
      </c>
      <c r="AV156" s="1">
        <v>1</v>
      </c>
      <c r="AW156" s="1">
        <v>1</v>
      </c>
      <c r="AX156" s="1">
        <v>1</v>
      </c>
      <c r="AY156" s="3">
        <v>1</v>
      </c>
      <c r="AZ156" s="86">
        <f>SUMPRODUCT($AT$15:$AX$15,T_MEASURES[[#This Row],[&lt;5.000]:[&gt;100.000]])</f>
        <v>1</v>
      </c>
      <c r="BA156" s="1">
        <v>1</v>
      </c>
      <c r="BB156" s="1">
        <v>1</v>
      </c>
      <c r="BC156" s="1">
        <v>1</v>
      </c>
      <c r="BD156" s="1">
        <v>1</v>
      </c>
      <c r="BE156" s="1">
        <v>1</v>
      </c>
      <c r="BF156" s="1">
        <v>1</v>
      </c>
      <c r="BG156" s="1">
        <v>1</v>
      </c>
      <c r="BH156" s="86" cm="1">
        <f t="array" ref="BH156">SUMPRODUCT(--((T_MEASURES[[#This Row],[Health or social care centers]:[Schools / Educational centers]] + $AZ$15:$BF$15)&gt;0))</f>
        <v>7</v>
      </c>
      <c r="BI156" s="88">
        <v>0</v>
      </c>
      <c r="BJ156" s="88">
        <v>0</v>
      </c>
      <c r="BK156" s="88">
        <v>2</v>
      </c>
      <c r="BL156" s="88">
        <v>2</v>
      </c>
      <c r="BM156" s="88">
        <v>3</v>
      </c>
      <c r="BN156" s="88">
        <v>2</v>
      </c>
      <c r="BO156" s="88">
        <v>3</v>
      </c>
      <c r="BP156" s="88">
        <v>3</v>
      </c>
      <c r="BQ156" s="96" cm="1">
        <f t="array" ref="BQ156">T_MEASURES[[#This Row],[Apply size]]*(SUMPRODUCT(T_MEASURES[[#This Row],[C1_Urban Cooling]:[C8_Time]],TRANSPOSE('2.WEIGHTS'!$L$12:$L$19))+(ROW(C156)-ROW($C$18)+1)*0.0000000001)*100</f>
        <v>187.50000138999999</v>
      </c>
      <c r="BR156" s="21"/>
      <c r="BS156" s="38"/>
    </row>
    <row r="157" spans="1:71" ht="33.6" x14ac:dyDescent="0.3">
      <c r="A157" s="21"/>
      <c r="B157" s="38"/>
      <c r="C157" s="21"/>
      <c r="D157" s="86">
        <f>IF(T_MEASURES[[#This Row],[Weight Criterion]]&lt;=0,"",_xlfn.RANK.EQ(T_MEASURES[[#This Row],[Weight Criterion]],T_MEASURES[Weight Criterion]))</f>
        <v>10</v>
      </c>
      <c r="E157" s="152" t="s">
        <v>406</v>
      </c>
      <c r="F157" s="151" t="s">
        <v>56</v>
      </c>
      <c r="G157" s="151" t="s">
        <v>43</v>
      </c>
      <c r="H157" s="151" t="s">
        <v>363</v>
      </c>
      <c r="I157" s="151" t="s">
        <v>407</v>
      </c>
      <c r="J157" s="151"/>
      <c r="K157" s="153">
        <v>1</v>
      </c>
      <c r="L157" s="18"/>
      <c r="M157" s="18"/>
      <c r="N157" s="154" t="str">
        <f t="shared" si="6"/>
        <v>€</v>
      </c>
      <c r="O157" s="155"/>
      <c r="P157" s="155">
        <v>1</v>
      </c>
      <c r="Q157" s="19">
        <v>1</v>
      </c>
      <c r="R157" s="155">
        <v>1</v>
      </c>
      <c r="S157" s="72" t="str">
        <f>IF(T_MEASURES[[#This Row],[No risk (0)]]=1,"■","")</f>
        <v/>
      </c>
      <c r="T157" s="73" t="str">
        <f>IF(T_MEASURES[[#This Row],[Low risk (1)]]=1,"■","")</f>
        <v>■</v>
      </c>
      <c r="U157" s="74" t="str">
        <f>IF(T_MEASURES[[#This Row],[Medium risk (2)]]=1,"■","")</f>
        <v>■</v>
      </c>
      <c r="V157" s="71" t="str">
        <f>IF(T_MEASURES[[#This Row],[High risk (3)]]=1,"■","")</f>
        <v>■</v>
      </c>
      <c r="W157" s="18" t="str">
        <f t="shared" si="7"/>
        <v>4. High (Red)</v>
      </c>
      <c r="X157" s="18">
        <f>COUNT(T_MEASURES[[#This Row],[Buildings and public facilities]:[Coordination]])</f>
        <v>2</v>
      </c>
      <c r="Y157" s="18">
        <v>1</v>
      </c>
      <c r="Z157" s="18" t="str">
        <f>IF(T_MEASURES[[#This Row],[Buildings and public facilities]]=1,"Yes","No")</f>
        <v>Yes</v>
      </c>
      <c r="AA157" s="18">
        <v>1</v>
      </c>
      <c r="AB157" s="18" t="str">
        <f>IF(T_MEASURES[[#This Row],[Urban planning]]=1,"Yes","No")</f>
        <v>Yes</v>
      </c>
      <c r="AC157" s="18"/>
      <c r="AD157" s="18" t="str">
        <f>IF(T_MEASURES[[#This Row],[Culture and Sports]],"Yes","No")</f>
        <v>No</v>
      </c>
      <c r="AE157" s="18"/>
      <c r="AF157" s="18" t="str">
        <f>IF(T_MEASURES[[#This Row],[Tourism]],"Yes","No")</f>
        <v>No</v>
      </c>
      <c r="AG157" s="18"/>
      <c r="AH157" s="18" t="str">
        <f>IF(T_MEASURES[[#This Row],[Occupational risks]],"Yes","No")</f>
        <v>No</v>
      </c>
      <c r="AI157" s="18"/>
      <c r="AJ157" s="18" t="str">
        <f>IF(T_MEASURES[[#This Row],[Education]],"Yes","No")</f>
        <v>No</v>
      </c>
      <c r="AK157" s="18"/>
      <c r="AL157" s="18" t="str">
        <f>IF(T_MEASURES[[#This Row],[Social Services]],"Yes","No")</f>
        <v>No</v>
      </c>
      <c r="AM157" s="18"/>
      <c r="AN157" s="18" t="str">
        <f>IF(T_MEASURES[[#This Row],[Emergency Services and Police]],"Yes","No")</f>
        <v>No</v>
      </c>
      <c r="AO157" s="18"/>
      <c r="AP157" s="18" t="str">
        <f>IF(T_MEASURES[[#This Row],[Parks and gardens (Urban Green Infrastructure)]],"Yes","No")</f>
        <v>No</v>
      </c>
      <c r="AQ157" s="18"/>
      <c r="AR157" s="18" t="str">
        <f>IF(T_MEASURES[[#This Row],[Transport]],"Yes","No")</f>
        <v>No</v>
      </c>
      <c r="AS157" s="158"/>
      <c r="AT157" s="1" t="str">
        <f>IF(T_MEASURES[[#This Row],[Coordination]],"Yes","No")</f>
        <v>No</v>
      </c>
      <c r="AU157" s="2">
        <v>1</v>
      </c>
      <c r="AV157" s="1">
        <v>1</v>
      </c>
      <c r="AW157" s="1">
        <v>1</v>
      </c>
      <c r="AX157" s="1">
        <v>1</v>
      </c>
      <c r="AY157" s="3">
        <v>1</v>
      </c>
      <c r="AZ157" s="86">
        <f>SUMPRODUCT($AT$15:$AX$15,T_MEASURES[[#This Row],[&lt;5.000]:[&gt;100.000]])</f>
        <v>1</v>
      </c>
      <c r="BA157" s="1">
        <v>1</v>
      </c>
      <c r="BB157" s="1">
        <v>1</v>
      </c>
      <c r="BC157" s="1">
        <v>1</v>
      </c>
      <c r="BD157" s="1">
        <v>1</v>
      </c>
      <c r="BE157" s="1">
        <v>1</v>
      </c>
      <c r="BF157" s="1">
        <v>1</v>
      </c>
      <c r="BG157" s="1">
        <v>1</v>
      </c>
      <c r="BH157" s="86" cm="1">
        <f t="array" ref="BH157">SUMPRODUCT(--((T_MEASURES[[#This Row],[Health or social care centers]:[Schools / Educational centers]] + $AZ$15:$BF$15)&gt;0))</f>
        <v>7</v>
      </c>
      <c r="BI157" s="1">
        <v>0</v>
      </c>
      <c r="BJ157" s="1">
        <v>0</v>
      </c>
      <c r="BK157" s="1">
        <v>2</v>
      </c>
      <c r="BL157" s="1">
        <v>3</v>
      </c>
      <c r="BM157" s="1">
        <v>3</v>
      </c>
      <c r="BN157" s="1">
        <v>2</v>
      </c>
      <c r="BO157" s="1">
        <v>3</v>
      </c>
      <c r="BP157" s="1">
        <v>3</v>
      </c>
      <c r="BQ157" s="96" cm="1">
        <f t="array" ref="BQ157">T_MEASURES[[#This Row],[Apply size]]*(SUMPRODUCT(T_MEASURES[[#This Row],[C1_Urban Cooling]:[C8_Time]],TRANSPOSE('2.WEIGHTS'!$L$12:$L$19))+(ROW(C157)-ROW($C$18)+1)*0.0000000001)*100</f>
        <v>200.00000139999997</v>
      </c>
      <c r="BR157" s="21"/>
      <c r="BS157" s="38"/>
    </row>
    <row r="158" spans="1:71" ht="43.2" x14ac:dyDescent="0.3">
      <c r="A158" s="21"/>
      <c r="B158" s="38"/>
      <c r="C158" s="21"/>
      <c r="D158" s="86">
        <f>IF(T_MEASURES[[#This Row],[Weight Criterion]]&lt;=0,"",_xlfn.RANK.EQ(T_MEASURES[[#This Row],[Weight Criterion]],T_MEASURES[Weight Criterion]))</f>
        <v>107</v>
      </c>
      <c r="E158" s="152" t="s">
        <v>408</v>
      </c>
      <c r="F158" s="151" t="s">
        <v>56</v>
      </c>
      <c r="G158" s="151" t="s">
        <v>43</v>
      </c>
      <c r="H158" s="151" t="s">
        <v>363</v>
      </c>
      <c r="I158" s="151" t="s">
        <v>409</v>
      </c>
      <c r="J158" s="151"/>
      <c r="K158" s="153">
        <v>1</v>
      </c>
      <c r="L158" s="18"/>
      <c r="M158" s="18"/>
      <c r="N158" s="154" t="str">
        <f t="shared" si="6"/>
        <v>€</v>
      </c>
      <c r="O158" s="155"/>
      <c r="P158" s="155">
        <v>1</v>
      </c>
      <c r="Q158" s="19">
        <v>1</v>
      </c>
      <c r="R158" s="155">
        <v>1</v>
      </c>
      <c r="S158" s="72" t="str">
        <f>IF(T_MEASURES[[#This Row],[No risk (0)]]=1,"■","")</f>
        <v/>
      </c>
      <c r="T158" s="73" t="str">
        <f>IF(T_MEASURES[[#This Row],[Low risk (1)]]=1,"■","")</f>
        <v>■</v>
      </c>
      <c r="U158" s="74" t="str">
        <f>IF(T_MEASURES[[#This Row],[Medium risk (2)]]=1,"■","")</f>
        <v>■</v>
      </c>
      <c r="V158" s="71" t="str">
        <f>IF(T_MEASURES[[#This Row],[High risk (3)]]=1,"■","")</f>
        <v>■</v>
      </c>
      <c r="W158" s="18" t="str">
        <f t="shared" si="7"/>
        <v>4. High (Red)</v>
      </c>
      <c r="X158" s="18">
        <f>COUNT(T_MEASURES[[#This Row],[Buildings and public facilities]:[Coordination]])</f>
        <v>1</v>
      </c>
      <c r="Y158" s="18"/>
      <c r="Z158" s="18" t="str">
        <f>IF(T_MEASURES[[#This Row],[Buildings and public facilities]]=1,"Yes","No")</f>
        <v>No</v>
      </c>
      <c r="AA158" s="18"/>
      <c r="AB158" s="18" t="str">
        <f>IF(T_MEASURES[[#This Row],[Urban planning]]=1,"Yes","No")</f>
        <v>No</v>
      </c>
      <c r="AC158" s="18"/>
      <c r="AD158" s="18" t="str">
        <f>IF(T_MEASURES[[#This Row],[Culture and Sports]],"Yes","No")</f>
        <v>No</v>
      </c>
      <c r="AE158" s="18"/>
      <c r="AF158" s="18" t="str">
        <f>IF(T_MEASURES[[#This Row],[Tourism]],"Yes","No")</f>
        <v>No</v>
      </c>
      <c r="AG158" s="18"/>
      <c r="AH158" s="18" t="str">
        <f>IF(T_MEASURES[[#This Row],[Occupational risks]],"Yes","No")</f>
        <v>No</v>
      </c>
      <c r="AI158" s="18"/>
      <c r="AJ158" s="18" t="str">
        <f>IF(T_MEASURES[[#This Row],[Education]],"Yes","No")</f>
        <v>No</v>
      </c>
      <c r="AK158" s="18"/>
      <c r="AL158" s="18" t="str">
        <f>IF(T_MEASURES[[#This Row],[Social Services]],"Yes","No")</f>
        <v>No</v>
      </c>
      <c r="AM158" s="18"/>
      <c r="AN158" s="18" t="str">
        <f>IF(T_MEASURES[[#This Row],[Emergency Services and Police]],"Yes","No")</f>
        <v>No</v>
      </c>
      <c r="AO158" s="18"/>
      <c r="AP158" s="18" t="str">
        <f>IF(T_MEASURES[[#This Row],[Parks and gardens (Urban Green Infrastructure)]],"Yes","No")</f>
        <v>No</v>
      </c>
      <c r="AQ158" s="18"/>
      <c r="AR158" s="18" t="str">
        <f>IF(T_MEASURES[[#This Row],[Transport]],"Yes","No")</f>
        <v>No</v>
      </c>
      <c r="AS158" s="158">
        <v>1</v>
      </c>
      <c r="AT158" s="1" t="str">
        <f>IF(T_MEASURES[[#This Row],[Coordination]],"Yes","No")</f>
        <v>Yes</v>
      </c>
      <c r="AU158" s="2">
        <v>1</v>
      </c>
      <c r="AV158" s="1">
        <v>1</v>
      </c>
      <c r="AW158" s="1">
        <v>1</v>
      </c>
      <c r="AX158" s="1">
        <v>1</v>
      </c>
      <c r="AY158" s="3">
        <v>1</v>
      </c>
      <c r="AZ158" s="86">
        <f>SUMPRODUCT($AT$15:$AX$15,T_MEASURES[[#This Row],[&lt;5.000]:[&gt;100.000]])</f>
        <v>1</v>
      </c>
      <c r="BA158" s="1">
        <v>1</v>
      </c>
      <c r="BB158" s="1">
        <v>1</v>
      </c>
      <c r="BC158" s="1">
        <v>1</v>
      </c>
      <c r="BD158" s="1">
        <v>1</v>
      </c>
      <c r="BE158" s="1">
        <v>1</v>
      </c>
      <c r="BF158" s="1">
        <v>1</v>
      </c>
      <c r="BG158" s="1">
        <v>1</v>
      </c>
      <c r="BH158" s="86" cm="1">
        <f t="array" ref="BH158">SUMPRODUCT(--((T_MEASURES[[#This Row],[Health or social care centers]:[Schools / Educational centers]] + $AZ$15:$BF$15)&gt;0))</f>
        <v>7</v>
      </c>
      <c r="BI158" s="88">
        <v>0</v>
      </c>
      <c r="BJ158" s="88">
        <v>0</v>
      </c>
      <c r="BK158" s="88">
        <v>2</v>
      </c>
      <c r="BL158" s="88">
        <v>3</v>
      </c>
      <c r="BM158" s="88">
        <v>2</v>
      </c>
      <c r="BN158" s="88">
        <v>2</v>
      </c>
      <c r="BO158" s="88">
        <v>2</v>
      </c>
      <c r="BP158" s="88">
        <v>2</v>
      </c>
      <c r="BQ158" s="96" cm="1">
        <f t="array" ref="BQ158">T_MEASURES[[#This Row],[Apply size]]*(SUMPRODUCT(T_MEASURES[[#This Row],[C1_Urban Cooling]:[C8_Time]],TRANSPOSE('2.WEIGHTS'!$L$12:$L$19))+(ROW(C158)-ROW($C$18)+1)*0.0000000001)*100</f>
        <v>162.50000141000001</v>
      </c>
      <c r="BR158" s="21"/>
      <c r="BS158" s="38"/>
    </row>
    <row r="159" spans="1:71" ht="15" customHeight="1" x14ac:dyDescent="0.3">
      <c r="A159" s="21"/>
      <c r="B159" s="38"/>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38"/>
    </row>
    <row r="160" spans="1:71" ht="14.4" customHeight="1" x14ac:dyDescent="0.3">
      <c r="A160" s="21"/>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row>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sheetData>
  <sheetProtection sheet="1" selectLockedCells="1" autoFilter="0" selectUnlockedCells="1"/>
  <mergeCells count="1">
    <mergeCell ref="H2:AR4"/>
  </mergeCells>
  <phoneticPr fontId="25" type="noConversion"/>
  <conditionalFormatting sqref="D18:D158">
    <cfRule type="top10" dxfId="69" priority="1" bottom="1" rank="10"/>
    <cfRule type="top10" dxfId="68" priority="2" rank="10"/>
  </conditionalFormatting>
  <dataValidations count="2">
    <dataValidation type="whole" allowBlank="1" showInputMessage="1" showErrorMessage="1" sqref="K18:M158 O18:R158 AU18:AY158" xr:uid="{6DB76E5B-0E16-473C-8A14-1AFF255892CE}">
      <formula1>1</formula1>
      <formula2>1</formula2>
    </dataValidation>
    <dataValidation type="whole" allowBlank="1" showInputMessage="1" showErrorMessage="1" sqref="BI18:BP158" xr:uid="{9A8D6D9B-D807-41B4-8B75-436F40EE2F93}">
      <formula1>0</formula1>
      <formula2>3</formula2>
    </dataValidation>
  </dataValidations>
  <pageMargins left="0.19685039370078741" right="0.19685039370078741" top="0.19685039370078741" bottom="0.19685039370078741" header="0.31496062992125984" footer="0"/>
  <pageSetup paperSize="9" scale="35" fitToHeight="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32" id="{8F90D1A3-7DB2-45E9-97B3-5D29FCF2CBF0}">
            <x14:iconSet iconSet="3Stars" showValue="0" custom="1">
              <x14:cfvo type="percent">
                <xm:f>0</xm:f>
              </x14:cfvo>
              <x14:cfvo type="num" gte="0">
                <xm:f>0</xm:f>
              </x14:cfvo>
              <x14:cfvo type="num">
                <xm:f>1</xm:f>
              </x14:cfvo>
              <x14:cfIcon iconSet="NoIcons" iconId="0"/>
              <x14:cfIcon iconSet="NoIcons" iconId="0"/>
              <x14:cfIcon iconSet="3Symbols2" iconId="2"/>
            </x14:iconSet>
          </x14:cfRule>
          <xm:sqref>Y18:AT158</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6E14D4B94F8E5478D3B0E66EA8D3133" ma:contentTypeVersion="13" ma:contentTypeDescription="Crear nuevo documento." ma:contentTypeScope="" ma:versionID="eec02b464a0db5b54426238996253144">
  <xsd:schema xmlns:xsd="http://www.w3.org/2001/XMLSchema" xmlns:xs="http://www.w3.org/2001/XMLSchema" xmlns:p="http://schemas.microsoft.com/office/2006/metadata/properties" xmlns:ns2="377a4d91-e82c-4342-a718-b1d4d43ffaa1" xmlns:ns3="b94ade3f-b1ab-4ea1-92ff-469f475ec829" targetNamespace="http://schemas.microsoft.com/office/2006/metadata/properties" ma:root="true" ma:fieldsID="5a1968576fdf93dfac32fd07f569a067" ns2:_="" ns3:_="">
    <xsd:import namespace="377a4d91-e82c-4342-a718-b1d4d43ffaa1"/>
    <xsd:import namespace="b94ade3f-b1ab-4ea1-92ff-469f475ec8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7a4d91-e82c-4342-a718-b1d4d43ffa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b2d1df3-3a2e-4ae7-939a-e342c5a2e72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4ade3f-b1ab-4ea1-92ff-469f475ec82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6e06f02-91b9-4d0b-b4ff-98478a7e0153}" ma:internalName="TaxCatchAll" ma:showField="CatchAllData" ma:web="b94ade3f-b1ab-4ea1-92ff-469f475ec8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77a4d91-e82c-4342-a718-b1d4d43ffaa1">
      <Terms xmlns="http://schemas.microsoft.com/office/infopath/2007/PartnerControls"/>
    </lcf76f155ced4ddcb4097134ff3c332f>
    <TaxCatchAll xmlns="b94ade3f-b1ab-4ea1-92ff-469f475ec829" xsi:nil="true"/>
  </documentManagement>
</p:properties>
</file>

<file path=customXml/itemProps1.xml><?xml version="1.0" encoding="utf-8"?>
<ds:datastoreItem xmlns:ds="http://schemas.openxmlformats.org/officeDocument/2006/customXml" ds:itemID="{1F6C8214-FB57-4F76-AEA9-CBE656D5E3D6}"/>
</file>

<file path=customXml/itemProps2.xml><?xml version="1.0" encoding="utf-8"?>
<ds:datastoreItem xmlns:ds="http://schemas.openxmlformats.org/officeDocument/2006/customXml" ds:itemID="{7FB5F697-EA35-4735-B75D-36027312AB40}"/>
</file>

<file path=customXml/itemProps3.xml><?xml version="1.0" encoding="utf-8"?>
<ds:datastoreItem xmlns:ds="http://schemas.openxmlformats.org/officeDocument/2006/customXml" ds:itemID="{887C7A84-887E-4A69-819A-2642521E24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0.COVER</vt:lpstr>
      <vt:lpstr>1.MUNICIPAL_PROFILE</vt:lpstr>
      <vt:lpstr>2.WEIGHTS</vt:lpstr>
      <vt:lpstr>3.RESULTS</vt:lpstr>
      <vt:lpstr>4.CATALOGUE_OF_MEASURES</vt:lpstr>
      <vt:lpstr>'1.MUNICIPAL_PROFILE'!Área_de_impresión</vt:lpstr>
      <vt:lpstr>'2.WEIGHTS'!Área_de_impresión</vt:lpstr>
      <vt:lpstr>'3.RESULTS'!Área_de_impresión</vt:lpstr>
      <vt:lpstr>'4.CATALOGUE_OF_MEASURES'!Área_de_impresión</vt:lpstr>
      <vt:lpstr>Beaches</vt:lpstr>
      <vt:lpstr>Buildings</vt:lpstr>
      <vt:lpstr>Care_centers</vt:lpstr>
      <vt:lpstr>Rivers</vt:lpstr>
      <vt:lpstr>Schools</vt:lpstr>
      <vt:lpstr>Swimming</vt:lpstr>
      <vt:lpstr>Transport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JUSTO JOSE VELA RODENAS</dc:creator>
  <cp:keywords/>
  <dc:description/>
  <cp:lastModifiedBy>JUSTO JOSE VELA RODENAS</cp:lastModifiedBy>
  <cp:revision/>
  <cp:lastPrinted>2026-01-20T11:39:51Z</cp:lastPrinted>
  <dcterms:created xsi:type="dcterms:W3CDTF">2025-11-25T10:10:20Z</dcterms:created>
  <dcterms:modified xsi:type="dcterms:W3CDTF">2026-02-28T09:43:20Z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0x01010046E14D4B94F8E5478D3B0E66EA8D3133</vt:lpwstr>
  </property>
</Properties>
</file>